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0" yWindow="-105" windowWidth="11685" windowHeight="10215" tabRatio="915" firstSheet="6" activeTab="14"/>
  </bookViews>
  <sheets>
    <sheet name="Численность" sheetId="4" r:id="rId1"/>
    <sheet name="проект числ-сть" sheetId="10" r:id="rId2"/>
    <sheet name="Движение населения" sheetId="22" r:id="rId3"/>
    <sheet name="Половозрастн стр-ра" sheetId="5" r:id="rId4"/>
    <sheet name="половозраст состав" sheetId="11" r:id="rId5"/>
    <sheet name="сх предприятия" sheetId="2" r:id="rId6"/>
    <sheet name="Произв предприятия" sheetId="20" r:id="rId7"/>
    <sheet name="Жилфонд" sheetId="13" r:id="rId8"/>
    <sheet name="обеспеч ЖФ" sheetId="19" r:id="rId9"/>
    <sheet name="строитЖФ" sheetId="12" r:id="rId10"/>
    <sheet name="СКБ" sheetId="3" r:id="rId11"/>
    <sheet name="СКБ износ" sheetId="17" r:id="rId12"/>
    <sheet name="Уточн СКБ" sheetId="21" r:id="rId13"/>
    <sheet name="Приложение 1" sheetId="14" r:id="rId14"/>
    <sheet name="Приложение 2" sheetId="15" r:id="rId15"/>
    <sheet name="СКБ старое" sheetId="25" r:id="rId16"/>
    <sheet name="СкотЛПХ" sheetId="7" r:id="rId17"/>
    <sheet name="Скот орг" sheetId="8" r:id="rId18"/>
    <sheet name="Работающие" sheetId="16" r:id="rId19"/>
    <sheet name="Развитие жив-ва" sheetId="23" r:id="rId20"/>
    <sheet name="Расчет кормов 1оч" sheetId="26" r:id="rId21"/>
    <sheet name="Расет кормов расчср" sheetId="27" r:id="rId22"/>
    <sheet name="S посева корм." sheetId="28" r:id="rId23"/>
    <sheet name="Развитие раст-ва" sheetId="24" r:id="rId24"/>
    <sheet name="Тракторы" sheetId="29" r:id="rId25"/>
  </sheets>
  <definedNames>
    <definedName name="_xlnm._FilterDatabase" localSheetId="11" hidden="1">'СКБ износ'!$D$1:$D$672</definedName>
    <definedName name="_xlnm._FilterDatabase" localSheetId="12" hidden="1">'Уточн СКБ'!$D$1:$D$92</definedName>
    <definedName name="_xlnm.Print_Area" localSheetId="13">'Приложение 1'!$A$1:$BZ$55</definedName>
    <definedName name="_xlnm.Print_Area" localSheetId="14">'Приложение 2'!$A$1:$BZ$55</definedName>
    <definedName name="_xlnm.Print_Area" localSheetId="1">'проект числ-сть'!$A$1:$N$148</definedName>
    <definedName name="_xlnm.Print_Area" localSheetId="19">'Развитие жив-ва'!$A$1:$J$89</definedName>
    <definedName name="_xlnm.Print_Area" localSheetId="11">'СКБ износ'!$A$1:$L$286</definedName>
    <definedName name="_xlnm.Print_Area" localSheetId="9">строитЖФ!$A$1:$R$52</definedName>
    <definedName name="_xlnm.Print_Area" localSheetId="5">'сх предприятия'!$A$1:$H$66</definedName>
    <definedName name="_xlnm.Print_Area" localSheetId="12">'Уточн СКБ'!$A$1:$I$64</definedName>
  </definedNames>
  <calcPr calcId="124519"/>
</workbook>
</file>

<file path=xl/calcChain.xml><?xml version="1.0" encoding="utf-8"?>
<calcChain xmlns="http://schemas.openxmlformats.org/spreadsheetml/2006/main">
  <c r="BN55" i="14"/>
  <c r="BE50"/>
  <c r="BD50"/>
  <c r="BE46"/>
  <c r="BD46"/>
  <c r="BE41"/>
  <c r="BD41"/>
  <c r="BE35"/>
  <c r="BD35"/>
  <c r="BE29"/>
  <c r="BD29"/>
  <c r="BE25"/>
  <c r="BD25"/>
  <c r="BE22"/>
  <c r="BD22"/>
  <c r="BE19"/>
  <c r="BD19"/>
  <c r="BE15"/>
  <c r="BD15"/>
  <c r="BE12"/>
  <c r="BD12"/>
  <c r="BE7"/>
  <c r="BD7"/>
  <c r="BE5"/>
  <c r="BE55" s="1"/>
  <c r="BD5"/>
  <c r="BD55" s="1"/>
  <c r="BD50" i="15"/>
  <c r="BE50"/>
  <c r="BD46"/>
  <c r="BE46"/>
  <c r="BE41"/>
  <c r="BD41"/>
  <c r="BD35"/>
  <c r="BE35"/>
  <c r="BD29"/>
  <c r="BE29"/>
  <c r="BE25"/>
  <c r="BD25"/>
  <c r="BD22"/>
  <c r="BE22"/>
  <c r="BD19"/>
  <c r="BE19"/>
  <c r="BD15"/>
  <c r="BE15"/>
  <c r="BD12"/>
  <c r="BE12"/>
  <c r="BD5"/>
  <c r="BD55" s="1"/>
  <c r="BE5"/>
  <c r="BD7"/>
  <c r="BE7"/>
  <c r="BB50"/>
  <c r="BB46"/>
  <c r="BB41"/>
  <c r="BB35"/>
  <c r="BB29"/>
  <c r="BB25"/>
  <c r="BB22"/>
  <c r="BB19"/>
  <c r="BB15"/>
  <c r="BB12"/>
  <c r="BB7"/>
  <c r="BB5"/>
  <c r="BB55" s="1"/>
  <c r="M8" i="21"/>
  <c r="AS50" i="15"/>
  <c r="AS46"/>
  <c r="AS41"/>
  <c r="AS35"/>
  <c r="AS29"/>
  <c r="AS25"/>
  <c r="AS22"/>
  <c r="AS19"/>
  <c r="AS15"/>
  <c r="AS12"/>
  <c r="AS7"/>
  <c r="AS5"/>
  <c r="AS55" s="1"/>
  <c r="BB29" i="14"/>
  <c r="AM12"/>
  <c r="F25"/>
  <c r="I50" i="15"/>
  <c r="I46"/>
  <c r="I41"/>
  <c r="I35"/>
  <c r="I29"/>
  <c r="I25"/>
  <c r="I22"/>
  <c r="I19"/>
  <c r="I15"/>
  <c r="I12"/>
  <c r="I7"/>
  <c r="I46" i="14"/>
  <c r="I15"/>
  <c r="F50" i="15"/>
  <c r="F46"/>
  <c r="F41"/>
  <c r="F35"/>
  <c r="F29"/>
  <c r="F25"/>
  <c r="F22"/>
  <c r="F19"/>
  <c r="F15"/>
  <c r="F12"/>
  <c r="F7"/>
  <c r="F5"/>
  <c r="F55" s="1"/>
  <c r="L9" i="21"/>
  <c r="M3"/>
  <c r="BW50" i="15"/>
  <c r="BW46"/>
  <c r="BW41"/>
  <c r="BW35"/>
  <c r="BW29"/>
  <c r="BW25"/>
  <c r="BW22"/>
  <c r="BW19"/>
  <c r="BW15"/>
  <c r="BW12"/>
  <c r="BW7"/>
  <c r="BW5"/>
  <c r="BW55" s="1"/>
  <c r="AY50"/>
  <c r="AY46"/>
  <c r="AY41"/>
  <c r="AY35"/>
  <c r="AY29"/>
  <c r="AY25"/>
  <c r="AY22"/>
  <c r="AY19"/>
  <c r="AY12"/>
  <c r="AY7"/>
  <c r="AY5"/>
  <c r="BH50"/>
  <c r="BH46"/>
  <c r="BH41"/>
  <c r="BH35"/>
  <c r="BH29"/>
  <c r="BH25"/>
  <c r="BH22"/>
  <c r="BH19"/>
  <c r="BH15"/>
  <c r="BH12"/>
  <c r="BH7"/>
  <c r="BH5"/>
  <c r="BH55" s="1"/>
  <c r="AV50"/>
  <c r="AV46"/>
  <c r="AV41"/>
  <c r="AV35"/>
  <c r="AV29"/>
  <c r="AV25"/>
  <c r="AV22"/>
  <c r="AV19"/>
  <c r="AV15"/>
  <c r="AV12"/>
  <c r="AV7"/>
  <c r="AV5"/>
  <c r="AV55" s="1"/>
  <c r="BY50"/>
  <c r="BY46"/>
  <c r="BY41"/>
  <c r="BY35"/>
  <c r="BY29"/>
  <c r="BY25"/>
  <c r="BY19"/>
  <c r="BY15"/>
  <c r="BY7"/>
  <c r="BY5"/>
  <c r="BY55" s="1"/>
  <c r="BN50"/>
  <c r="BM50"/>
  <c r="BL50"/>
  <c r="BK50"/>
  <c r="BJ50"/>
  <c r="BN46"/>
  <c r="BM46"/>
  <c r="BL46"/>
  <c r="BK46"/>
  <c r="BJ46"/>
  <c r="BN41"/>
  <c r="BM41"/>
  <c r="BL41"/>
  <c r="BK41"/>
  <c r="BJ41"/>
  <c r="BN35"/>
  <c r="BM35"/>
  <c r="BL35"/>
  <c r="BK35"/>
  <c r="BJ35"/>
  <c r="BN29"/>
  <c r="BM29"/>
  <c r="BL29"/>
  <c r="BK29"/>
  <c r="BJ29"/>
  <c r="BN25"/>
  <c r="BM25"/>
  <c r="BL25"/>
  <c r="BK25"/>
  <c r="BJ25"/>
  <c r="BN22"/>
  <c r="BM22"/>
  <c r="BL22"/>
  <c r="BK22"/>
  <c r="BJ22"/>
  <c r="BN19"/>
  <c r="BM19"/>
  <c r="BL19"/>
  <c r="BK19"/>
  <c r="BJ19"/>
  <c r="BN15"/>
  <c r="BM15"/>
  <c r="BL15"/>
  <c r="BK15"/>
  <c r="BJ15"/>
  <c r="BN12"/>
  <c r="BM12"/>
  <c r="BL12"/>
  <c r="BK12"/>
  <c r="BJ12"/>
  <c r="BN7"/>
  <c r="BM7"/>
  <c r="BL7"/>
  <c r="BK7"/>
  <c r="BJ7"/>
  <c r="BN5"/>
  <c r="BN55" s="1"/>
  <c r="BM5"/>
  <c r="BM55" s="1"/>
  <c r="BL5"/>
  <c r="BL55" s="1"/>
  <c r="BK5"/>
  <c r="BK55" s="1"/>
  <c r="BJ5"/>
  <c r="BJ55" s="1"/>
  <c r="AO55"/>
  <c r="AO50"/>
  <c r="AO41"/>
  <c r="AO29"/>
  <c r="AO25"/>
  <c r="AO19"/>
  <c r="AO7"/>
  <c r="AO5"/>
  <c r="AO55" i="14"/>
  <c r="AI50" i="15"/>
  <c r="AI46"/>
  <c r="AI41"/>
  <c r="AI35"/>
  <c r="AI29"/>
  <c r="AI25"/>
  <c r="AI22"/>
  <c r="AI19"/>
  <c r="AI15"/>
  <c r="AI12"/>
  <c r="AI7"/>
  <c r="AI6"/>
  <c r="AI5"/>
  <c r="AI55" s="1"/>
  <c r="AI6" i="14"/>
  <c r="K12" i="21"/>
  <c r="K9"/>
  <c r="C262"/>
  <c r="C260"/>
  <c r="C258"/>
  <c r="C256"/>
  <c r="C254"/>
  <c r="C250"/>
  <c r="C248"/>
  <c r="C246"/>
  <c r="C244"/>
  <c r="C241"/>
  <c r="C239"/>
  <c r="C238"/>
  <c r="C237"/>
  <c r="G65"/>
  <c r="N3"/>
  <c r="O4"/>
  <c r="BT50" i="15"/>
  <c r="BS50"/>
  <c r="BT46"/>
  <c r="BS46"/>
  <c r="BT41"/>
  <c r="BS41"/>
  <c r="BT35"/>
  <c r="BS35"/>
  <c r="BT29"/>
  <c r="BS29"/>
  <c r="BT25"/>
  <c r="BS25"/>
  <c r="BT22"/>
  <c r="BS22"/>
  <c r="BT19"/>
  <c r="BS19"/>
  <c r="BT15"/>
  <c r="BS15"/>
  <c r="BT12"/>
  <c r="BS12"/>
  <c r="BT7"/>
  <c r="BS7"/>
  <c r="BT5"/>
  <c r="BT55" s="1"/>
  <c r="BS5"/>
  <c r="BS55" s="1"/>
  <c r="BP50"/>
  <c r="BP46"/>
  <c r="BP41"/>
  <c r="BP35"/>
  <c r="BP29"/>
  <c r="BP25"/>
  <c r="BP22"/>
  <c r="BP19"/>
  <c r="BP15"/>
  <c r="BP12"/>
  <c r="BP7"/>
  <c r="BP5"/>
  <c r="BP55" s="1"/>
  <c r="AM50"/>
  <c r="AL50"/>
  <c r="AM46"/>
  <c r="AL46"/>
  <c r="AM41"/>
  <c r="AL41"/>
  <c r="AM35"/>
  <c r="AL35"/>
  <c r="AM29"/>
  <c r="AL29"/>
  <c r="AM25"/>
  <c r="AL25"/>
  <c r="AM22"/>
  <c r="AL22"/>
  <c r="AM19"/>
  <c r="AL19"/>
  <c r="AM15"/>
  <c r="AL15"/>
  <c r="AM12"/>
  <c r="AL12"/>
  <c r="AM7"/>
  <c r="AL7"/>
  <c r="AM5"/>
  <c r="AM55" s="1"/>
  <c r="AL5"/>
  <c r="AL55" s="1"/>
  <c r="AF50"/>
  <c r="AF5"/>
  <c r="AD50"/>
  <c r="AC50"/>
  <c r="AD46"/>
  <c r="AC46"/>
  <c r="AD41"/>
  <c r="AC41"/>
  <c r="AD35"/>
  <c r="AC35"/>
  <c r="AD29"/>
  <c r="AC29"/>
  <c r="AD25"/>
  <c r="AC25"/>
  <c r="AD22"/>
  <c r="AC22"/>
  <c r="AD19"/>
  <c r="AC19"/>
  <c r="AD15"/>
  <c r="AC15"/>
  <c r="AD12"/>
  <c r="AC12"/>
  <c r="AD7"/>
  <c r="AC7"/>
  <c r="AD5"/>
  <c r="AD55" s="1"/>
  <c r="AC5"/>
  <c r="AC55" s="1"/>
  <c r="U50"/>
  <c r="T50"/>
  <c r="U46"/>
  <c r="T46"/>
  <c r="U41"/>
  <c r="T41"/>
  <c r="U35"/>
  <c r="T35"/>
  <c r="U29"/>
  <c r="T29"/>
  <c r="U25"/>
  <c r="T25"/>
  <c r="U22"/>
  <c r="T22"/>
  <c r="U19"/>
  <c r="T19"/>
  <c r="U15"/>
  <c r="T15"/>
  <c r="U12"/>
  <c r="T12"/>
  <c r="U7"/>
  <c r="T7"/>
  <c r="U5"/>
  <c r="U55" s="1"/>
  <c r="T5"/>
  <c r="T55" s="1"/>
  <c r="R50" i="14"/>
  <c r="Q50"/>
  <c r="P50"/>
  <c r="R46"/>
  <c r="Q46"/>
  <c r="P46"/>
  <c r="R41"/>
  <c r="Q41"/>
  <c r="P41"/>
  <c r="R35"/>
  <c r="Q35"/>
  <c r="P35"/>
  <c r="R29"/>
  <c r="Q29"/>
  <c r="P29"/>
  <c r="R25"/>
  <c r="Q25"/>
  <c r="P25"/>
  <c r="R22"/>
  <c r="Q22"/>
  <c r="P22"/>
  <c r="R19"/>
  <c r="Q19"/>
  <c r="P19"/>
  <c r="R15"/>
  <c r="Q15"/>
  <c r="P15"/>
  <c r="R12"/>
  <c r="Q12"/>
  <c r="P12"/>
  <c r="R7"/>
  <c r="Q7"/>
  <c r="P7"/>
  <c r="R5"/>
  <c r="R55" s="1"/>
  <c r="Q5"/>
  <c r="Q55" s="1"/>
  <c r="P5"/>
  <c r="P55" s="1"/>
  <c r="O50" i="15"/>
  <c r="N50"/>
  <c r="M50"/>
  <c r="O46"/>
  <c r="N46"/>
  <c r="M46"/>
  <c r="O41"/>
  <c r="N41"/>
  <c r="M41"/>
  <c r="O35"/>
  <c r="N35"/>
  <c r="M35"/>
  <c r="O29"/>
  <c r="N29"/>
  <c r="M29"/>
  <c r="O25"/>
  <c r="N25"/>
  <c r="M25"/>
  <c r="O22"/>
  <c r="N22"/>
  <c r="M22"/>
  <c r="O19"/>
  <c r="N19"/>
  <c r="M19"/>
  <c r="O15"/>
  <c r="N15"/>
  <c r="M15"/>
  <c r="O12"/>
  <c r="N12"/>
  <c r="M12"/>
  <c r="O7"/>
  <c r="N7"/>
  <c r="M7"/>
  <c r="O5"/>
  <c r="O55" s="1"/>
  <c r="N5"/>
  <c r="N55" s="1"/>
  <c r="M5"/>
  <c r="M55" s="1"/>
  <c r="P5"/>
  <c r="Q5"/>
  <c r="R5"/>
  <c r="P7"/>
  <c r="Q7"/>
  <c r="R7"/>
  <c r="P12"/>
  <c r="Q12"/>
  <c r="R12"/>
  <c r="P15"/>
  <c r="Q15"/>
  <c r="R15"/>
  <c r="P19"/>
  <c r="Q19"/>
  <c r="R19"/>
  <c r="P22"/>
  <c r="Q22"/>
  <c r="R22"/>
  <c r="P25"/>
  <c r="Q25"/>
  <c r="R25"/>
  <c r="P29"/>
  <c r="Q29"/>
  <c r="R29"/>
  <c r="P35"/>
  <c r="Q35"/>
  <c r="R35"/>
  <c r="P41"/>
  <c r="Q41"/>
  <c r="R41"/>
  <c r="P46"/>
  <c r="Q46"/>
  <c r="R46"/>
  <c r="P50"/>
  <c r="Q50"/>
  <c r="R50"/>
  <c r="H50"/>
  <c r="H46"/>
  <c r="H41"/>
  <c r="H35"/>
  <c r="H29"/>
  <c r="H25"/>
  <c r="H22"/>
  <c r="H19"/>
  <c r="H15"/>
  <c r="H12"/>
  <c r="H7"/>
  <c r="H6"/>
  <c r="H5"/>
  <c r="H55" s="1"/>
  <c r="H6" i="14"/>
  <c r="E6" i="15"/>
  <c r="E50"/>
  <c r="E46"/>
  <c r="E41"/>
  <c r="E35"/>
  <c r="E29"/>
  <c r="E25"/>
  <c r="E22"/>
  <c r="E19"/>
  <c r="E15"/>
  <c r="E12"/>
  <c r="E7"/>
  <c r="E5"/>
  <c r="E55" s="1"/>
  <c r="E6" i="14"/>
  <c r="Q4" i="5"/>
  <c r="Q3"/>
  <c r="D13"/>
  <c r="Q10"/>
  <c r="BE55" i="15" l="1"/>
  <c r="M7" i="12"/>
  <c r="M5" l="1"/>
  <c r="M6"/>
  <c r="M8"/>
  <c r="M10"/>
  <c r="M11"/>
  <c r="M13"/>
  <c r="M14"/>
  <c r="M15"/>
  <c r="M17"/>
  <c r="M18"/>
  <c r="M20"/>
  <c r="M21"/>
  <c r="M23"/>
  <c r="M24"/>
  <c r="M25"/>
  <c r="M27"/>
  <c r="M28"/>
  <c r="M29"/>
  <c r="M30"/>
  <c r="M31"/>
  <c r="M33"/>
  <c r="M34"/>
  <c r="M35"/>
  <c r="M36"/>
  <c r="M37"/>
  <c r="M39"/>
  <c r="M38" s="1"/>
  <c r="M40"/>
  <c r="M41"/>
  <c r="M42"/>
  <c r="M44"/>
  <c r="M43" s="1"/>
  <c r="M45"/>
  <c r="M46"/>
  <c r="M48"/>
  <c r="M47" s="1"/>
  <c r="M49"/>
  <c r="M50"/>
  <c r="M51"/>
  <c r="M3"/>
  <c r="M2"/>
  <c r="O2"/>
  <c r="O4"/>
  <c r="O9"/>
  <c r="O12"/>
  <c r="O16"/>
  <c r="O19"/>
  <c r="O22"/>
  <c r="O26"/>
  <c r="O38"/>
  <c r="O43"/>
  <c r="O47"/>
  <c r="I51"/>
  <c r="M32" l="1"/>
  <c r="M26"/>
  <c r="M22"/>
  <c r="M19"/>
  <c r="M16"/>
  <c r="M12"/>
  <c r="M9"/>
  <c r="M4"/>
  <c r="M52"/>
  <c r="L54" i="10"/>
  <c r="L34"/>
  <c r="L28"/>
  <c r="L24"/>
  <c r="L14"/>
  <c r="L18"/>
  <c r="L6"/>
  <c r="L11"/>
  <c r="M45"/>
  <c r="M40"/>
  <c r="M34"/>
  <c r="M28"/>
  <c r="M24"/>
  <c r="M21"/>
  <c r="M18"/>
  <c r="M14"/>
  <c r="M11"/>
  <c r="M6"/>
  <c r="M49"/>
  <c r="F198" i="21"/>
  <c r="I162"/>
  <c r="O3" i="12"/>
  <c r="O5"/>
  <c r="O6"/>
  <c r="P6" s="1"/>
  <c r="O7"/>
  <c r="P7" s="1"/>
  <c r="O8"/>
  <c r="P8" s="1"/>
  <c r="O11"/>
  <c r="O13"/>
  <c r="O14"/>
  <c r="P14" s="1"/>
  <c r="O15"/>
  <c r="P15" s="1"/>
  <c r="O17"/>
  <c r="P17" s="1"/>
  <c r="O18"/>
  <c r="O20"/>
  <c r="P20" s="1"/>
  <c r="O21"/>
  <c r="O23"/>
  <c r="P23" s="1"/>
  <c r="O24"/>
  <c r="O25"/>
  <c r="P25" s="1"/>
  <c r="O27"/>
  <c r="P27" s="1"/>
  <c r="O28"/>
  <c r="P28" s="1"/>
  <c r="O29"/>
  <c r="P29" s="1"/>
  <c r="O30"/>
  <c r="O31"/>
  <c r="P31" s="1"/>
  <c r="O33"/>
  <c r="O34"/>
  <c r="P34" s="1"/>
  <c r="O35"/>
  <c r="P35" s="1"/>
  <c r="O36"/>
  <c r="P36" s="1"/>
  <c r="O37"/>
  <c r="P37" s="1"/>
  <c r="O39"/>
  <c r="O40"/>
  <c r="P40" s="1"/>
  <c r="O41"/>
  <c r="P41" s="1"/>
  <c r="O42"/>
  <c r="P42" s="1"/>
  <c r="O44"/>
  <c r="P44" s="1"/>
  <c r="O45"/>
  <c r="O46"/>
  <c r="P46" s="1"/>
  <c r="O48"/>
  <c r="P48" s="1"/>
  <c r="O49"/>
  <c r="P49" s="1"/>
  <c r="O50"/>
  <c r="O51"/>
  <c r="P51" s="1"/>
  <c r="H3"/>
  <c r="H2" s="1"/>
  <c r="H5"/>
  <c r="H6"/>
  <c r="I6" s="1"/>
  <c r="H7"/>
  <c r="I7" s="1"/>
  <c r="H8"/>
  <c r="I8" s="1"/>
  <c r="H10"/>
  <c r="I10" s="1"/>
  <c r="H11"/>
  <c r="H9" s="1"/>
  <c r="H13"/>
  <c r="H14"/>
  <c r="I14" s="1"/>
  <c r="H15"/>
  <c r="I15" s="1"/>
  <c r="H17"/>
  <c r="H18"/>
  <c r="I18" s="1"/>
  <c r="H20"/>
  <c r="I20" s="1"/>
  <c r="H21"/>
  <c r="H19" s="1"/>
  <c r="H23"/>
  <c r="H24"/>
  <c r="I24" s="1"/>
  <c r="H25"/>
  <c r="I25" s="1"/>
  <c r="H27"/>
  <c r="I27" s="1"/>
  <c r="H28"/>
  <c r="I28" s="1"/>
  <c r="H29"/>
  <c r="I29" s="1"/>
  <c r="H30"/>
  <c r="H31"/>
  <c r="I31" s="1"/>
  <c r="H33"/>
  <c r="H34"/>
  <c r="I34" s="1"/>
  <c r="H35"/>
  <c r="I35" s="1"/>
  <c r="H36"/>
  <c r="I36" s="1"/>
  <c r="H37"/>
  <c r="I37" s="1"/>
  <c r="H39"/>
  <c r="H40"/>
  <c r="I40" s="1"/>
  <c r="H41"/>
  <c r="I41" s="1"/>
  <c r="H42"/>
  <c r="I42" s="1"/>
  <c r="H44"/>
  <c r="I44" s="1"/>
  <c r="H45"/>
  <c r="H46"/>
  <c r="I46" s="1"/>
  <c r="H48"/>
  <c r="I48" s="1"/>
  <c r="H49"/>
  <c r="I49" s="1"/>
  <c r="H50"/>
  <c r="I50" s="1"/>
  <c r="H51"/>
  <c r="H47" s="1"/>
  <c r="C3"/>
  <c r="C5"/>
  <c r="C6"/>
  <c r="C7"/>
  <c r="C8"/>
  <c r="C10"/>
  <c r="C11"/>
  <c r="C13"/>
  <c r="C14"/>
  <c r="C15"/>
  <c r="C17"/>
  <c r="C18"/>
  <c r="C20"/>
  <c r="C21"/>
  <c r="C23"/>
  <c r="C24"/>
  <c r="C25"/>
  <c r="C27"/>
  <c r="C28"/>
  <c r="C29"/>
  <c r="C30"/>
  <c r="C31"/>
  <c r="C33"/>
  <c r="C34"/>
  <c r="C35"/>
  <c r="C36"/>
  <c r="C37"/>
  <c r="C39"/>
  <c r="C40"/>
  <c r="C41"/>
  <c r="C42"/>
  <c r="C44"/>
  <c r="C45"/>
  <c r="C46"/>
  <c r="C48"/>
  <c r="C49"/>
  <c r="C50"/>
  <c r="C51"/>
  <c r="B5"/>
  <c r="B6"/>
  <c r="B7"/>
  <c r="B8"/>
  <c r="B10"/>
  <c r="B11"/>
  <c r="B13"/>
  <c r="B14"/>
  <c r="B15"/>
  <c r="B17"/>
  <c r="B18"/>
  <c r="B20"/>
  <c r="B21"/>
  <c r="B23"/>
  <c r="B24"/>
  <c r="B25"/>
  <c r="B27"/>
  <c r="B28"/>
  <c r="B29"/>
  <c r="B30"/>
  <c r="B31"/>
  <c r="B33"/>
  <c r="B34"/>
  <c r="B35"/>
  <c r="B36"/>
  <c r="B37"/>
  <c r="B39"/>
  <c r="B40"/>
  <c r="B41"/>
  <c r="B42"/>
  <c r="B44"/>
  <c r="B45"/>
  <c r="B46"/>
  <c r="B48"/>
  <c r="B49"/>
  <c r="B50"/>
  <c r="B51"/>
  <c r="B3"/>
  <c r="B2" s="1"/>
  <c r="K13" i="29"/>
  <c r="J13"/>
  <c r="I14"/>
  <c r="I15"/>
  <c r="I16"/>
  <c r="I17"/>
  <c r="I18"/>
  <c r="I19"/>
  <c r="I13"/>
  <c r="J16"/>
  <c r="H20"/>
  <c r="I20"/>
  <c r="G20"/>
  <c r="J14"/>
  <c r="H14"/>
  <c r="G10"/>
  <c r="E9"/>
  <c r="E8"/>
  <c r="E7"/>
  <c r="E6"/>
  <c r="E4"/>
  <c r="E3"/>
  <c r="D9"/>
  <c r="D8"/>
  <c r="D7"/>
  <c r="D6"/>
  <c r="D4"/>
  <c r="D3"/>
  <c r="D10"/>
  <c r="I4"/>
  <c r="J4"/>
  <c r="G3"/>
  <c r="U54" i="3"/>
  <c r="V54"/>
  <c r="W54"/>
  <c r="X54"/>
  <c r="Y54"/>
  <c r="Z54"/>
  <c r="AA54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C49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C45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39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3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C27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C23"/>
  <c r="D20"/>
  <c r="E20"/>
  <c r="F20"/>
  <c r="G20"/>
  <c r="H20"/>
  <c r="I20"/>
  <c r="J20"/>
  <c r="K20"/>
  <c r="L20"/>
  <c r="M20"/>
  <c r="N20"/>
  <c r="O20"/>
  <c r="P20"/>
  <c r="Q20"/>
  <c r="R20"/>
  <c r="S20"/>
  <c r="T20"/>
  <c r="T54" s="1"/>
  <c r="U20"/>
  <c r="V20"/>
  <c r="W20"/>
  <c r="X20"/>
  <c r="Y20"/>
  <c r="Z20"/>
  <c r="AA20"/>
  <c r="AB20"/>
  <c r="AC20"/>
  <c r="AD20"/>
  <c r="AE20"/>
  <c r="C20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C17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C13"/>
  <c r="AE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C10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C5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C3"/>
  <c r="D197" i="28"/>
  <c r="C197"/>
  <c r="C195"/>
  <c r="D5"/>
  <c r="D6"/>
  <c r="D7"/>
  <c r="D8"/>
  <c r="D9"/>
  <c r="D4"/>
  <c r="C5"/>
  <c r="C6"/>
  <c r="C7"/>
  <c r="C8"/>
  <c r="C9"/>
  <c r="C4"/>
  <c r="H9"/>
  <c r="G9"/>
  <c r="H8"/>
  <c r="G8"/>
  <c r="H7"/>
  <c r="G7"/>
  <c r="H4"/>
  <c r="H10" s="1"/>
  <c r="G4"/>
  <c r="G10" s="1"/>
  <c r="H10" i="27"/>
  <c r="H11"/>
  <c r="H12"/>
  <c r="H13"/>
  <c r="H14"/>
  <c r="H9"/>
  <c r="H10" i="26"/>
  <c r="H11"/>
  <c r="H12"/>
  <c r="H13"/>
  <c r="H14"/>
  <c r="H9"/>
  <c r="G15" i="27"/>
  <c r="F15"/>
  <c r="I14"/>
  <c r="J14" s="1"/>
  <c r="E14"/>
  <c r="I13"/>
  <c r="J13" s="1"/>
  <c r="E13"/>
  <c r="I12"/>
  <c r="J12" s="1"/>
  <c r="E12"/>
  <c r="I11"/>
  <c r="J11" s="1"/>
  <c r="E11"/>
  <c r="I10"/>
  <c r="J10" s="1"/>
  <c r="E10"/>
  <c r="I9"/>
  <c r="J9" s="1"/>
  <c r="E9"/>
  <c r="I83" i="23"/>
  <c r="J83"/>
  <c r="H83"/>
  <c r="G5"/>
  <c r="F5"/>
  <c r="F14"/>
  <c r="G87"/>
  <c r="F87"/>
  <c r="F85"/>
  <c r="G85"/>
  <c r="E85"/>
  <c r="G15" i="26"/>
  <c r="F15"/>
  <c r="I14"/>
  <c r="J14" s="1"/>
  <c r="E14"/>
  <c r="I13"/>
  <c r="J13" s="1"/>
  <c r="E13"/>
  <c r="I12"/>
  <c r="J12" s="1"/>
  <c r="E12"/>
  <c r="I11"/>
  <c r="J11" s="1"/>
  <c r="E11"/>
  <c r="I10"/>
  <c r="J10" s="1"/>
  <c r="E10"/>
  <c r="I9"/>
  <c r="J9" s="1"/>
  <c r="E9"/>
  <c r="O32" i="12" l="1"/>
  <c r="I47"/>
  <c r="D51"/>
  <c r="D50"/>
  <c r="D49"/>
  <c r="C47"/>
  <c r="D48"/>
  <c r="D46"/>
  <c r="D45"/>
  <c r="C43"/>
  <c r="D44"/>
  <c r="D42"/>
  <c r="D41"/>
  <c r="D40"/>
  <c r="C38"/>
  <c r="D39"/>
  <c r="D37"/>
  <c r="D36"/>
  <c r="D35"/>
  <c r="D34"/>
  <c r="C32"/>
  <c r="D33"/>
  <c r="D31"/>
  <c r="D30"/>
  <c r="D29"/>
  <c r="D28"/>
  <c r="C26"/>
  <c r="D27"/>
  <c r="D25"/>
  <c r="D24"/>
  <c r="C22"/>
  <c r="D23"/>
  <c r="D21"/>
  <c r="C19"/>
  <c r="D20"/>
  <c r="D18"/>
  <c r="F18"/>
  <c r="G18" s="1"/>
  <c r="C16"/>
  <c r="D17"/>
  <c r="F17"/>
  <c r="D15"/>
  <c r="G15"/>
  <c r="J15" s="1"/>
  <c r="S15" s="1"/>
  <c r="D14"/>
  <c r="F14"/>
  <c r="G14" s="1"/>
  <c r="C12"/>
  <c r="D13"/>
  <c r="F13"/>
  <c r="D11"/>
  <c r="F11"/>
  <c r="G11" s="1"/>
  <c r="C9"/>
  <c r="D10"/>
  <c r="D8"/>
  <c r="G8"/>
  <c r="J8" s="1"/>
  <c r="D7"/>
  <c r="G7"/>
  <c r="J7" s="1"/>
  <c r="S7" s="1"/>
  <c r="N7"/>
  <c r="D6"/>
  <c r="C4"/>
  <c r="D5"/>
  <c r="D3"/>
  <c r="D2" s="1"/>
  <c r="C2"/>
  <c r="C52" s="1"/>
  <c r="N3"/>
  <c r="N2" s="1"/>
  <c r="B47"/>
  <c r="B43"/>
  <c r="B38"/>
  <c r="B32"/>
  <c r="B26"/>
  <c r="B22"/>
  <c r="B19"/>
  <c r="B16"/>
  <c r="B12"/>
  <c r="B9"/>
  <c r="B4"/>
  <c r="B52" s="1"/>
  <c r="H32"/>
  <c r="H26"/>
  <c r="H16"/>
  <c r="H12"/>
  <c r="H4"/>
  <c r="I17"/>
  <c r="I16" s="1"/>
  <c r="I13"/>
  <c r="I12" s="1"/>
  <c r="I5"/>
  <c r="I3"/>
  <c r="P13"/>
  <c r="P12" s="1"/>
  <c r="P3"/>
  <c r="P2" s="1"/>
  <c r="F51"/>
  <c r="G51" s="1"/>
  <c r="K51" s="1"/>
  <c r="F50"/>
  <c r="G50" s="1"/>
  <c r="F49"/>
  <c r="G49" s="1"/>
  <c r="F48"/>
  <c r="G46"/>
  <c r="J46" s="1"/>
  <c r="F45"/>
  <c r="G45" s="1"/>
  <c r="F44"/>
  <c r="F42"/>
  <c r="G42" s="1"/>
  <c r="G41"/>
  <c r="J41" s="1"/>
  <c r="F40"/>
  <c r="G40" s="1"/>
  <c r="F39"/>
  <c r="F37"/>
  <c r="G37" s="1"/>
  <c r="F36"/>
  <c r="G36" s="1"/>
  <c r="F35"/>
  <c r="G35" s="1"/>
  <c r="F34"/>
  <c r="G34" s="1"/>
  <c r="F33"/>
  <c r="F31"/>
  <c r="G31" s="1"/>
  <c r="F30"/>
  <c r="G30" s="1"/>
  <c r="F29"/>
  <c r="G29" s="1"/>
  <c r="F28"/>
  <c r="G28" s="1"/>
  <c r="F27"/>
  <c r="F25"/>
  <c r="G25" s="1"/>
  <c r="F24"/>
  <c r="G24" s="1"/>
  <c r="F23"/>
  <c r="G21"/>
  <c r="P5"/>
  <c r="P4" s="1"/>
  <c r="P50"/>
  <c r="P47" s="1"/>
  <c r="M54" i="10"/>
  <c r="L59" s="1"/>
  <c r="H43" i="12"/>
  <c r="I45"/>
  <c r="I43" s="1"/>
  <c r="H38"/>
  <c r="I39"/>
  <c r="I38" s="1"/>
  <c r="I33"/>
  <c r="I32" s="1"/>
  <c r="I30"/>
  <c r="I26" s="1"/>
  <c r="H22"/>
  <c r="I23"/>
  <c r="I22" s="1"/>
  <c r="I21"/>
  <c r="I19" s="1"/>
  <c r="H52"/>
  <c r="I11"/>
  <c r="I9" s="1"/>
  <c r="P45"/>
  <c r="P43" s="1"/>
  <c r="P39"/>
  <c r="P38" s="1"/>
  <c r="P33"/>
  <c r="P32" s="1"/>
  <c r="P30"/>
  <c r="P26" s="1"/>
  <c r="P24"/>
  <c r="P22" s="1"/>
  <c r="P21"/>
  <c r="P19" s="1"/>
  <c r="P18"/>
  <c r="P16" s="1"/>
  <c r="P11"/>
  <c r="F14" i="24"/>
  <c r="E14"/>
  <c r="F33"/>
  <c r="F35" s="1"/>
  <c r="E33"/>
  <c r="E35" s="1"/>
  <c r="F28"/>
  <c r="F30" s="1"/>
  <c r="E28"/>
  <c r="E30" s="1"/>
  <c r="F23"/>
  <c r="E23"/>
  <c r="F19"/>
  <c r="F21" s="1"/>
  <c r="E19"/>
  <c r="E21" s="1"/>
  <c r="F16"/>
  <c r="E16"/>
  <c r="F10"/>
  <c r="F12" s="1"/>
  <c r="E10"/>
  <c r="E12" s="1"/>
  <c r="E5"/>
  <c r="F5"/>
  <c r="D39"/>
  <c r="E37"/>
  <c r="F37"/>
  <c r="D37"/>
  <c r="D34"/>
  <c r="D29"/>
  <c r="D24"/>
  <c r="F24" s="1"/>
  <c r="D20"/>
  <c r="D15"/>
  <c r="D11"/>
  <c r="D6"/>
  <c r="F6" s="1"/>
  <c r="J6" i="29"/>
  <c r="I6"/>
  <c r="G6"/>
  <c r="H6"/>
  <c r="N6" s="1"/>
  <c r="G73" i="4"/>
  <c r="C73"/>
  <c r="BV50" i="15"/>
  <c r="BR50"/>
  <c r="BQ50"/>
  <c r="BI50"/>
  <c r="BG50"/>
  <c r="BA50"/>
  <c r="AX50"/>
  <c r="AU50"/>
  <c r="AB50"/>
  <c r="AA50"/>
  <c r="Z50"/>
  <c r="Y50"/>
  <c r="X50"/>
  <c r="W50"/>
  <c r="V50"/>
  <c r="S50"/>
  <c r="L50"/>
  <c r="K50"/>
  <c r="J50"/>
  <c r="BV46"/>
  <c r="BR46"/>
  <c r="BQ46"/>
  <c r="BI46"/>
  <c r="BG46"/>
  <c r="BA46"/>
  <c r="AX46"/>
  <c r="AU46"/>
  <c r="AB46"/>
  <c r="AA46"/>
  <c r="Z46"/>
  <c r="Y46"/>
  <c r="X46"/>
  <c r="W46"/>
  <c r="V46"/>
  <c r="S46"/>
  <c r="L46"/>
  <c r="K46"/>
  <c r="J46"/>
  <c r="BV41"/>
  <c r="BR41"/>
  <c r="BQ41"/>
  <c r="BI41"/>
  <c r="BG41"/>
  <c r="BA41"/>
  <c r="AX41"/>
  <c r="AU41"/>
  <c r="AB41"/>
  <c r="AA41"/>
  <c r="Z41"/>
  <c r="Y41"/>
  <c r="X41"/>
  <c r="W41"/>
  <c r="V41"/>
  <c r="S41"/>
  <c r="L41"/>
  <c r="K41"/>
  <c r="J41"/>
  <c r="BV35"/>
  <c r="BR35"/>
  <c r="BQ35"/>
  <c r="BI35"/>
  <c r="BG35"/>
  <c r="BA35"/>
  <c r="AX35"/>
  <c r="AU35"/>
  <c r="AB35"/>
  <c r="AA35"/>
  <c r="Z35"/>
  <c r="Y35"/>
  <c r="X35"/>
  <c r="W35"/>
  <c r="V35"/>
  <c r="S35"/>
  <c r="L35"/>
  <c r="K35"/>
  <c r="J35"/>
  <c r="BV29"/>
  <c r="BR29"/>
  <c r="BQ29"/>
  <c r="BI29"/>
  <c r="BG29"/>
  <c r="BA29"/>
  <c r="AX29"/>
  <c r="AU29"/>
  <c r="AB29"/>
  <c r="AA29"/>
  <c r="Z29"/>
  <c r="Y29"/>
  <c r="X29"/>
  <c r="W29"/>
  <c r="V29"/>
  <c r="S29"/>
  <c r="L29"/>
  <c r="K29"/>
  <c r="J29"/>
  <c r="BV25"/>
  <c r="BR25"/>
  <c r="BQ25"/>
  <c r="BI25"/>
  <c r="BG25"/>
  <c r="BA25"/>
  <c r="AX25"/>
  <c r="AU25"/>
  <c r="AB25"/>
  <c r="AA25"/>
  <c r="Z25"/>
  <c r="Y25"/>
  <c r="X25"/>
  <c r="W25"/>
  <c r="V25"/>
  <c r="S25"/>
  <c r="L25"/>
  <c r="K25"/>
  <c r="J25"/>
  <c r="BV22"/>
  <c r="BR22"/>
  <c r="BQ22"/>
  <c r="BI22"/>
  <c r="BG22"/>
  <c r="BA22"/>
  <c r="AX22"/>
  <c r="AU22"/>
  <c r="AB22"/>
  <c r="AA22"/>
  <c r="Z22"/>
  <c r="Y22"/>
  <c r="X22"/>
  <c r="W22"/>
  <c r="V22"/>
  <c r="S22"/>
  <c r="L22"/>
  <c r="K22"/>
  <c r="J22"/>
  <c r="BV19"/>
  <c r="BR19"/>
  <c r="BQ19"/>
  <c r="BI19"/>
  <c r="BG19"/>
  <c r="BA19"/>
  <c r="AX19"/>
  <c r="AU19"/>
  <c r="AB19"/>
  <c r="AA19"/>
  <c r="Z19"/>
  <c r="Y19"/>
  <c r="X19"/>
  <c r="W19"/>
  <c r="V19"/>
  <c r="S19"/>
  <c r="L19"/>
  <c r="K19"/>
  <c r="J19"/>
  <c r="BV15"/>
  <c r="BR15"/>
  <c r="BQ15"/>
  <c r="BI15"/>
  <c r="BG15"/>
  <c r="BA15"/>
  <c r="AX15"/>
  <c r="AU15"/>
  <c r="AB15"/>
  <c r="AA15"/>
  <c r="Z15"/>
  <c r="Y15"/>
  <c r="X15"/>
  <c r="W15"/>
  <c r="V15"/>
  <c r="S15"/>
  <c r="L15"/>
  <c r="K15"/>
  <c r="J15"/>
  <c r="BV12"/>
  <c r="BR12"/>
  <c r="BQ12"/>
  <c r="BI12"/>
  <c r="BG12"/>
  <c r="BA12"/>
  <c r="AX12"/>
  <c r="AU12"/>
  <c r="AB12"/>
  <c r="AA12"/>
  <c r="Z12"/>
  <c r="Y12"/>
  <c r="X12"/>
  <c r="W12"/>
  <c r="V12"/>
  <c r="S12"/>
  <c r="L12"/>
  <c r="K12"/>
  <c r="J12"/>
  <c r="BV7"/>
  <c r="BR7"/>
  <c r="BQ7"/>
  <c r="BI7"/>
  <c r="BG7"/>
  <c r="BA7"/>
  <c r="AX7"/>
  <c r="AU7"/>
  <c r="AB7"/>
  <c r="AA7"/>
  <c r="Z7"/>
  <c r="Y7"/>
  <c r="X7"/>
  <c r="W7"/>
  <c r="V7"/>
  <c r="S7"/>
  <c r="L7"/>
  <c r="K7"/>
  <c r="J7"/>
  <c r="BV5"/>
  <c r="BV55" s="1"/>
  <c r="BR5"/>
  <c r="BR55" s="1"/>
  <c r="BQ5"/>
  <c r="BQ55" s="1"/>
  <c r="BI5"/>
  <c r="BI55" s="1"/>
  <c r="BG5"/>
  <c r="BG55" s="1"/>
  <c r="BA5"/>
  <c r="BA55" s="1"/>
  <c r="AX5"/>
  <c r="AX55" s="1"/>
  <c r="AU5"/>
  <c r="AU55" s="1"/>
  <c r="AB5"/>
  <c r="AB55" s="1"/>
  <c r="AA5"/>
  <c r="AA55" s="1"/>
  <c r="Z5"/>
  <c r="Z55" s="1"/>
  <c r="Y5"/>
  <c r="Y55" s="1"/>
  <c r="X5"/>
  <c r="X55" s="1"/>
  <c r="W5"/>
  <c r="W55" s="1"/>
  <c r="V5"/>
  <c r="V55" s="1"/>
  <c r="S5"/>
  <c r="S55" s="1"/>
  <c r="R55"/>
  <c r="Q55"/>
  <c r="P55"/>
  <c r="L5"/>
  <c r="L55" s="1"/>
  <c r="K5"/>
  <c r="K55" s="1"/>
  <c r="J5"/>
  <c r="J55" s="1"/>
  <c r="AD50" i="14"/>
  <c r="AF50"/>
  <c r="AI50"/>
  <c r="AL50"/>
  <c r="AO50"/>
  <c r="AU50"/>
  <c r="AX50"/>
  <c r="BA50"/>
  <c r="BG50"/>
  <c r="BI50"/>
  <c r="BJ50"/>
  <c r="BL50"/>
  <c r="BM50"/>
  <c r="BN50"/>
  <c r="BO50"/>
  <c r="BP50"/>
  <c r="BQ50"/>
  <c r="BR50"/>
  <c r="BS50"/>
  <c r="BV50"/>
  <c r="BY50"/>
  <c r="S46"/>
  <c r="T46"/>
  <c r="V46"/>
  <c r="W46"/>
  <c r="X46"/>
  <c r="Y46"/>
  <c r="Z46"/>
  <c r="AA46"/>
  <c r="AB46"/>
  <c r="AC46"/>
  <c r="AI46"/>
  <c r="AL46"/>
  <c r="AU46"/>
  <c r="AX46"/>
  <c r="BA46"/>
  <c r="BG46"/>
  <c r="BI46"/>
  <c r="BJ46"/>
  <c r="BK46"/>
  <c r="BL46"/>
  <c r="BM46"/>
  <c r="BO46"/>
  <c r="BP46"/>
  <c r="BR46"/>
  <c r="BS46"/>
  <c r="BT46"/>
  <c r="BV46"/>
  <c r="BY46"/>
  <c r="Z41"/>
  <c r="AA41"/>
  <c r="AB41"/>
  <c r="AC41"/>
  <c r="AD41"/>
  <c r="AI41"/>
  <c r="AL41"/>
  <c r="AO41"/>
  <c r="AU41"/>
  <c r="AX41"/>
  <c r="BA41"/>
  <c r="BG41"/>
  <c r="BI41"/>
  <c r="BJ41"/>
  <c r="BL41"/>
  <c r="BM41"/>
  <c r="BN41"/>
  <c r="BO41"/>
  <c r="BP41"/>
  <c r="BR41"/>
  <c r="BS41"/>
  <c r="BV41"/>
  <c r="BY41"/>
  <c r="AB35"/>
  <c r="AC35"/>
  <c r="AD35"/>
  <c r="AI35"/>
  <c r="AL35"/>
  <c r="AU35"/>
  <c r="AX35"/>
  <c r="BA35"/>
  <c r="BG35"/>
  <c r="BI35"/>
  <c r="BJ35"/>
  <c r="BL35"/>
  <c r="BM35"/>
  <c r="BN35"/>
  <c r="BO35"/>
  <c r="BP35"/>
  <c r="BQ35"/>
  <c r="BR35"/>
  <c r="BS35"/>
  <c r="BV35"/>
  <c r="BY35"/>
  <c r="AB29"/>
  <c r="AC29"/>
  <c r="AD29"/>
  <c r="AI29"/>
  <c r="AL29"/>
  <c r="AO29"/>
  <c r="AU29"/>
  <c r="AX29"/>
  <c r="BA29"/>
  <c r="BG29"/>
  <c r="BI29"/>
  <c r="BJ29"/>
  <c r="BL29"/>
  <c r="BM29"/>
  <c r="BO29"/>
  <c r="BP29"/>
  <c r="BR29"/>
  <c r="BS29"/>
  <c r="BV29"/>
  <c r="BY29"/>
  <c r="AI25"/>
  <c r="AL25"/>
  <c r="AO25"/>
  <c r="AU25"/>
  <c r="AX25"/>
  <c r="BA25"/>
  <c r="BG25"/>
  <c r="BI25"/>
  <c r="BJ25"/>
  <c r="BL25"/>
  <c r="BM25"/>
  <c r="BO25"/>
  <c r="BP25"/>
  <c r="BQ25"/>
  <c r="BR25"/>
  <c r="BS25"/>
  <c r="BV25"/>
  <c r="BY25"/>
  <c r="AI22"/>
  <c r="AL22"/>
  <c r="AU22"/>
  <c r="AX22"/>
  <c r="BA22"/>
  <c r="BG22"/>
  <c r="BI22"/>
  <c r="BJ22"/>
  <c r="BL22"/>
  <c r="BM22"/>
  <c r="BN22"/>
  <c r="BO22"/>
  <c r="BP22"/>
  <c r="BR22"/>
  <c r="BS22"/>
  <c r="BV22"/>
  <c r="AI19"/>
  <c r="AL19"/>
  <c r="AO19"/>
  <c r="AU19"/>
  <c r="AX19"/>
  <c r="BA19"/>
  <c r="BG19"/>
  <c r="BI19"/>
  <c r="BJ19"/>
  <c r="BL19"/>
  <c r="BM19"/>
  <c r="BO19"/>
  <c r="BP19"/>
  <c r="BR19"/>
  <c r="BS19"/>
  <c r="BV19"/>
  <c r="BY19"/>
  <c r="BA15"/>
  <c r="BG15"/>
  <c r="BI15"/>
  <c r="BJ15"/>
  <c r="BL15"/>
  <c r="BM15"/>
  <c r="BN15"/>
  <c r="BO15"/>
  <c r="BP15"/>
  <c r="BR15"/>
  <c r="BS15"/>
  <c r="BV15"/>
  <c r="BY15"/>
  <c r="BA12"/>
  <c r="BG12"/>
  <c r="BI12"/>
  <c r="BJ12"/>
  <c r="BK12"/>
  <c r="BL12"/>
  <c r="BM12"/>
  <c r="BN12"/>
  <c r="BO12"/>
  <c r="BP12"/>
  <c r="BQ12"/>
  <c r="BR12"/>
  <c r="BS12"/>
  <c r="BV12"/>
  <c r="AI5"/>
  <c r="AL5"/>
  <c r="AO5"/>
  <c r="AU5"/>
  <c r="AX5"/>
  <c r="BA5"/>
  <c r="BG5"/>
  <c r="BI5"/>
  <c r="BJ5"/>
  <c r="BL5"/>
  <c r="BM5"/>
  <c r="BO5"/>
  <c r="BP5"/>
  <c r="BR5"/>
  <c r="BS5"/>
  <c r="BV5"/>
  <c r="BY5"/>
  <c r="AI7"/>
  <c r="AL7"/>
  <c r="AO7"/>
  <c r="AU7"/>
  <c r="AX7"/>
  <c r="BA7"/>
  <c r="BG7"/>
  <c r="BI7"/>
  <c r="BJ7"/>
  <c r="BL7"/>
  <c r="BM7"/>
  <c r="BO7"/>
  <c r="BP7"/>
  <c r="BR7"/>
  <c r="BS7"/>
  <c r="BV7"/>
  <c r="BY7"/>
  <c r="BW50"/>
  <c r="BW46"/>
  <c r="BW41"/>
  <c r="BW35"/>
  <c r="BW29"/>
  <c r="BW25"/>
  <c r="BW22"/>
  <c r="BW19"/>
  <c r="BW15"/>
  <c r="BW12"/>
  <c r="BW7"/>
  <c r="BW5"/>
  <c r="BT50"/>
  <c r="BT41"/>
  <c r="BT35"/>
  <c r="BT29"/>
  <c r="BT25"/>
  <c r="BT22"/>
  <c r="BT19"/>
  <c r="BT15"/>
  <c r="BT12"/>
  <c r="BT7"/>
  <c r="BT5"/>
  <c r="BQ46"/>
  <c r="BQ41"/>
  <c r="BQ29"/>
  <c r="BQ22"/>
  <c r="BQ19"/>
  <c r="BQ15"/>
  <c r="BQ7"/>
  <c r="BQ5"/>
  <c r="BN46"/>
  <c r="BN29"/>
  <c r="BN25"/>
  <c r="BN19"/>
  <c r="BN7"/>
  <c r="BN5"/>
  <c r="BK50"/>
  <c r="BK41"/>
  <c r="BK35"/>
  <c r="BK29"/>
  <c r="BK25"/>
  <c r="BK22"/>
  <c r="BK19"/>
  <c r="BK15"/>
  <c r="BK7"/>
  <c r="BK5"/>
  <c r="AD46"/>
  <c r="AD25"/>
  <c r="AD22"/>
  <c r="AD19"/>
  <c r="AD15"/>
  <c r="AD12"/>
  <c r="AD7"/>
  <c r="AD5"/>
  <c r="AA50"/>
  <c r="AA35"/>
  <c r="AA29"/>
  <c r="AA25"/>
  <c r="AA22"/>
  <c r="AA19"/>
  <c r="AA15"/>
  <c r="AA12"/>
  <c r="AA7"/>
  <c r="AA5"/>
  <c r="AA55" s="1"/>
  <c r="X50"/>
  <c r="X41"/>
  <c r="X35"/>
  <c r="X29"/>
  <c r="X25"/>
  <c r="X22"/>
  <c r="X19"/>
  <c r="X15"/>
  <c r="X12"/>
  <c r="X7"/>
  <c r="X5"/>
  <c r="X55" s="1"/>
  <c r="U50"/>
  <c r="U46"/>
  <c r="U41"/>
  <c r="U35"/>
  <c r="U29"/>
  <c r="U25"/>
  <c r="U22"/>
  <c r="U19"/>
  <c r="U15"/>
  <c r="U12"/>
  <c r="U7"/>
  <c r="U5"/>
  <c r="O50"/>
  <c r="O46"/>
  <c r="O41"/>
  <c r="O35"/>
  <c r="O29"/>
  <c r="O25"/>
  <c r="O22"/>
  <c r="O19"/>
  <c r="O15"/>
  <c r="O12"/>
  <c r="O7"/>
  <c r="O5"/>
  <c r="O55" s="1"/>
  <c r="L50"/>
  <c r="L46"/>
  <c r="L41"/>
  <c r="L35"/>
  <c r="L29"/>
  <c r="L25"/>
  <c r="L22"/>
  <c r="L19"/>
  <c r="L15"/>
  <c r="L12"/>
  <c r="L7"/>
  <c r="L5"/>
  <c r="L55" s="1"/>
  <c r="E50"/>
  <c r="E46"/>
  <c r="E41"/>
  <c r="E35"/>
  <c r="E29"/>
  <c r="E25"/>
  <c r="E22"/>
  <c r="E19"/>
  <c r="E15"/>
  <c r="E12"/>
  <c r="E7"/>
  <c r="AU15"/>
  <c r="AX15"/>
  <c r="BA55"/>
  <c r="BG55"/>
  <c r="AU12"/>
  <c r="AX12"/>
  <c r="AL15"/>
  <c r="AL12"/>
  <c r="AI15"/>
  <c r="AI12"/>
  <c r="BV55" l="1"/>
  <c r="BR55"/>
  <c r="BO55"/>
  <c r="BL55"/>
  <c r="BI55"/>
  <c r="BY55"/>
  <c r="BM55"/>
  <c r="BK55"/>
  <c r="BJ55"/>
  <c r="BW55"/>
  <c r="BT55"/>
  <c r="BS55"/>
  <c r="BQ55"/>
  <c r="BP55"/>
  <c r="AD55"/>
  <c r="U55"/>
  <c r="J21" i="12"/>
  <c r="G23"/>
  <c r="F22"/>
  <c r="J24"/>
  <c r="K24"/>
  <c r="J25"/>
  <c r="K25"/>
  <c r="G27"/>
  <c r="F26"/>
  <c r="J28"/>
  <c r="K28"/>
  <c r="J29"/>
  <c r="K29"/>
  <c r="J31"/>
  <c r="K31"/>
  <c r="G33"/>
  <c r="F32"/>
  <c r="J34"/>
  <c r="K34"/>
  <c r="J35"/>
  <c r="K35"/>
  <c r="J36"/>
  <c r="K36"/>
  <c r="J37"/>
  <c r="K37"/>
  <c r="G39"/>
  <c r="F38"/>
  <c r="J40"/>
  <c r="K40"/>
  <c r="K41"/>
  <c r="J42"/>
  <c r="K42"/>
  <c r="G44"/>
  <c r="F43"/>
  <c r="K46"/>
  <c r="G48"/>
  <c r="F47"/>
  <c r="J49"/>
  <c r="K49"/>
  <c r="J50"/>
  <c r="K50"/>
  <c r="I2"/>
  <c r="I4"/>
  <c r="F6"/>
  <c r="G6" s="1"/>
  <c r="J6" s="1"/>
  <c r="K8"/>
  <c r="G10"/>
  <c r="J10" s="1"/>
  <c r="F9"/>
  <c r="G13"/>
  <c r="F12"/>
  <c r="J14"/>
  <c r="K14"/>
  <c r="K15"/>
  <c r="G17"/>
  <c r="F16"/>
  <c r="J18"/>
  <c r="K18"/>
  <c r="G20"/>
  <c r="J20" s="1"/>
  <c r="S20" s="1"/>
  <c r="F19"/>
  <c r="K21"/>
  <c r="K30"/>
  <c r="K45"/>
  <c r="R3"/>
  <c r="R2" s="1"/>
  <c r="K11"/>
  <c r="K7"/>
  <c r="D52"/>
  <c r="F3"/>
  <c r="D4"/>
  <c r="D9"/>
  <c r="D12"/>
  <c r="D16"/>
  <c r="D19"/>
  <c r="D22"/>
  <c r="D26"/>
  <c r="D32"/>
  <c r="D38"/>
  <c r="D43"/>
  <c r="D47"/>
  <c r="J11"/>
  <c r="J23"/>
  <c r="J22" s="1"/>
  <c r="J30"/>
  <c r="J33"/>
  <c r="J32" s="1"/>
  <c r="J39"/>
  <c r="J38" s="1"/>
  <c r="J45"/>
  <c r="J51"/>
  <c r="J13"/>
  <c r="J12" s="1"/>
  <c r="J17"/>
  <c r="J16" s="1"/>
  <c r="Q3"/>
  <c r="Q2" s="1"/>
  <c r="N5"/>
  <c r="N6"/>
  <c r="N8"/>
  <c r="N10"/>
  <c r="N11"/>
  <c r="N13"/>
  <c r="N14"/>
  <c r="N15"/>
  <c r="N17"/>
  <c r="N18"/>
  <c r="N20"/>
  <c r="N21"/>
  <c r="N23"/>
  <c r="N24"/>
  <c r="N25"/>
  <c r="N27"/>
  <c r="N28"/>
  <c r="N29"/>
  <c r="N30"/>
  <c r="N31"/>
  <c r="N33"/>
  <c r="N34"/>
  <c r="N35"/>
  <c r="N36"/>
  <c r="N37"/>
  <c r="N39"/>
  <c r="N40"/>
  <c r="N41"/>
  <c r="N42"/>
  <c r="N44"/>
  <c r="N45"/>
  <c r="N46"/>
  <c r="N48"/>
  <c r="N49"/>
  <c r="N50"/>
  <c r="N51"/>
  <c r="F7" i="24"/>
  <c r="E6"/>
  <c r="E7" s="1"/>
  <c r="F25"/>
  <c r="E24"/>
  <c r="E25" s="1"/>
  <c r="F39"/>
  <c r="AF7" i="14"/>
  <c r="AF5"/>
  <c r="AB50"/>
  <c r="AC50"/>
  <c r="AI55"/>
  <c r="AL55"/>
  <c r="AU55"/>
  <c r="AX55"/>
  <c r="AB25"/>
  <c r="AC25"/>
  <c r="AB22"/>
  <c r="AC22"/>
  <c r="AB19"/>
  <c r="AC19"/>
  <c r="AB15"/>
  <c r="AC15"/>
  <c r="AB12"/>
  <c r="AC12"/>
  <c r="AB7"/>
  <c r="AC7"/>
  <c r="AB5"/>
  <c r="AC5"/>
  <c r="AC55" s="1"/>
  <c r="AB55"/>
  <c r="M50"/>
  <c r="N50"/>
  <c r="S50"/>
  <c r="T50"/>
  <c r="V50"/>
  <c r="W50"/>
  <c r="Y50"/>
  <c r="Z50"/>
  <c r="M46"/>
  <c r="N46"/>
  <c r="M41"/>
  <c r="N41"/>
  <c r="S41"/>
  <c r="T41"/>
  <c r="V41"/>
  <c r="W41"/>
  <c r="Y41"/>
  <c r="M35"/>
  <c r="N35"/>
  <c r="S35"/>
  <c r="T35"/>
  <c r="V35"/>
  <c r="W35"/>
  <c r="Y35"/>
  <c r="Z35"/>
  <c r="M29"/>
  <c r="N29"/>
  <c r="S29"/>
  <c r="T29"/>
  <c r="V29"/>
  <c r="W29"/>
  <c r="Y29"/>
  <c r="Z29"/>
  <c r="M25"/>
  <c r="N25"/>
  <c r="S25"/>
  <c r="T25"/>
  <c r="V25"/>
  <c r="W25"/>
  <c r="Y25"/>
  <c r="Z25"/>
  <c r="M22"/>
  <c r="N22"/>
  <c r="S22"/>
  <c r="T22"/>
  <c r="V22"/>
  <c r="W22"/>
  <c r="Y22"/>
  <c r="Z22"/>
  <c r="M19"/>
  <c r="N19"/>
  <c r="S19"/>
  <c r="T19"/>
  <c r="V19"/>
  <c r="W19"/>
  <c r="Y19"/>
  <c r="Z19"/>
  <c r="M15"/>
  <c r="N15"/>
  <c r="S15"/>
  <c r="T15"/>
  <c r="V15"/>
  <c r="W15"/>
  <c r="Y15"/>
  <c r="Z15"/>
  <c r="M12"/>
  <c r="N12"/>
  <c r="S12"/>
  <c r="T12"/>
  <c r="V12"/>
  <c r="W12"/>
  <c r="Y12"/>
  <c r="Z12"/>
  <c r="V7"/>
  <c r="W7"/>
  <c r="Y7"/>
  <c r="Z7"/>
  <c r="V5"/>
  <c r="V55" s="1"/>
  <c r="W5"/>
  <c r="W55" s="1"/>
  <c r="Y5"/>
  <c r="Y55" s="1"/>
  <c r="Z5"/>
  <c r="Z55" s="1"/>
  <c r="M7"/>
  <c r="N7"/>
  <c r="S7"/>
  <c r="T7"/>
  <c r="M5"/>
  <c r="M55" s="1"/>
  <c r="N5"/>
  <c r="N55" s="1"/>
  <c r="S5"/>
  <c r="S55" s="1"/>
  <c r="T5"/>
  <c r="T55" s="1"/>
  <c r="J50"/>
  <c r="K50"/>
  <c r="J46"/>
  <c r="K46"/>
  <c r="J41"/>
  <c r="K41"/>
  <c r="J35"/>
  <c r="K35"/>
  <c r="J29"/>
  <c r="K29"/>
  <c r="J25"/>
  <c r="K25"/>
  <c r="J22"/>
  <c r="K22"/>
  <c r="J19"/>
  <c r="K19"/>
  <c r="J15"/>
  <c r="K15"/>
  <c r="J12"/>
  <c r="K12"/>
  <c r="J7"/>
  <c r="K7"/>
  <c r="J5"/>
  <c r="J55" s="1"/>
  <c r="K5"/>
  <c r="K55" s="1"/>
  <c r="H50"/>
  <c r="H46"/>
  <c r="H41"/>
  <c r="H35"/>
  <c r="H29"/>
  <c r="H25"/>
  <c r="H22"/>
  <c r="H19"/>
  <c r="H15"/>
  <c r="H12"/>
  <c r="H7"/>
  <c r="H5"/>
  <c r="H55"/>
  <c r="E5"/>
  <c r="E55" s="1"/>
  <c r="C6" i="15"/>
  <c r="C7"/>
  <c r="C8"/>
  <c r="C9"/>
  <c r="C10"/>
  <c r="C11"/>
  <c r="C14"/>
  <c r="C15"/>
  <c r="C16"/>
  <c r="C17"/>
  <c r="C18"/>
  <c r="C20"/>
  <c r="C21"/>
  <c r="C23"/>
  <c r="C24"/>
  <c r="C26"/>
  <c r="C27"/>
  <c r="C28"/>
  <c r="C30"/>
  <c r="C31"/>
  <c r="C32"/>
  <c r="C33"/>
  <c r="C34"/>
  <c r="C36"/>
  <c r="C37"/>
  <c r="C38"/>
  <c r="C39"/>
  <c r="C40"/>
  <c r="C42"/>
  <c r="C43"/>
  <c r="C44"/>
  <c r="C45"/>
  <c r="C47"/>
  <c r="C48"/>
  <c r="C49"/>
  <c r="C50"/>
  <c r="C51"/>
  <c r="C52"/>
  <c r="C53"/>
  <c r="C54"/>
  <c r="C5"/>
  <c r="C6" i="14"/>
  <c r="BC6" s="1"/>
  <c r="BC5" s="1"/>
  <c r="C7"/>
  <c r="C8"/>
  <c r="BC8" s="1"/>
  <c r="C9"/>
  <c r="BC9" s="1"/>
  <c r="C10"/>
  <c r="BC10" s="1"/>
  <c r="C11"/>
  <c r="BC11" s="1"/>
  <c r="C12"/>
  <c r="C13"/>
  <c r="BC13" s="1"/>
  <c r="C14"/>
  <c r="BC14" s="1"/>
  <c r="C15"/>
  <c r="C16"/>
  <c r="BC16" s="1"/>
  <c r="C17"/>
  <c r="BC17" s="1"/>
  <c r="C18"/>
  <c r="BC18" s="1"/>
  <c r="C19"/>
  <c r="C20"/>
  <c r="BC20" s="1"/>
  <c r="C21"/>
  <c r="BC21" s="1"/>
  <c r="C23"/>
  <c r="BC23" s="1"/>
  <c r="C24"/>
  <c r="BC24" s="1"/>
  <c r="C25"/>
  <c r="C26"/>
  <c r="BC26" s="1"/>
  <c r="C27"/>
  <c r="BC27" s="1"/>
  <c r="C28"/>
  <c r="BC28" s="1"/>
  <c r="C29"/>
  <c r="C30"/>
  <c r="BC30" s="1"/>
  <c r="C31"/>
  <c r="BC31" s="1"/>
  <c r="C32"/>
  <c r="BC32" s="1"/>
  <c r="C33"/>
  <c r="BC33" s="1"/>
  <c r="C34"/>
  <c r="BC34" s="1"/>
  <c r="C35"/>
  <c r="C36"/>
  <c r="BC36" s="1"/>
  <c r="C37"/>
  <c r="BC37" s="1"/>
  <c r="C38"/>
  <c r="BC38" s="1"/>
  <c r="C39"/>
  <c r="BC39" s="1"/>
  <c r="C40"/>
  <c r="BC40" s="1"/>
  <c r="C42"/>
  <c r="BC42" s="1"/>
  <c r="C43"/>
  <c r="BC43" s="1"/>
  <c r="C44"/>
  <c r="BC44" s="1"/>
  <c r="C45"/>
  <c r="BC45" s="1"/>
  <c r="C47"/>
  <c r="BC47" s="1"/>
  <c r="C48"/>
  <c r="BC48" s="1"/>
  <c r="C49"/>
  <c r="BC49" s="1"/>
  <c r="C51"/>
  <c r="BC51" s="1"/>
  <c r="C52"/>
  <c r="BC52" s="1"/>
  <c r="C53"/>
  <c r="BC53" s="1"/>
  <c r="C54"/>
  <c r="BC54" s="1"/>
  <c r="C5"/>
  <c r="BC50" l="1"/>
  <c r="BC46"/>
  <c r="BC41"/>
  <c r="BC35"/>
  <c r="BC29"/>
  <c r="BC25"/>
  <c r="BC22"/>
  <c r="BC19"/>
  <c r="BC15"/>
  <c r="BC12"/>
  <c r="BC7"/>
  <c r="BC55"/>
  <c r="BO54" i="15"/>
  <c r="BC54"/>
  <c r="BO53"/>
  <c r="BC53"/>
  <c r="BO52"/>
  <c r="BC52"/>
  <c r="BO51"/>
  <c r="BC51"/>
  <c r="BC50" s="1"/>
  <c r="BO49"/>
  <c r="BC49"/>
  <c r="BO48"/>
  <c r="BC48"/>
  <c r="BO47"/>
  <c r="BC47"/>
  <c r="BC46" s="1"/>
  <c r="BO45"/>
  <c r="BC45"/>
  <c r="BO44"/>
  <c r="BC44"/>
  <c r="BO43"/>
  <c r="BC43"/>
  <c r="BO42"/>
  <c r="BC42"/>
  <c r="BC41" s="1"/>
  <c r="BO40"/>
  <c r="BC40"/>
  <c r="BO39"/>
  <c r="BC39"/>
  <c r="BO38"/>
  <c r="BC38"/>
  <c r="BO37"/>
  <c r="BC37"/>
  <c r="BO36"/>
  <c r="BC36"/>
  <c r="BC35" s="1"/>
  <c r="BO34"/>
  <c r="BC34"/>
  <c r="BO33"/>
  <c r="BC33"/>
  <c r="BO32"/>
  <c r="BC32"/>
  <c r="BO31"/>
  <c r="BC31"/>
  <c r="BO30"/>
  <c r="BC30"/>
  <c r="BC29" s="1"/>
  <c r="BO28"/>
  <c r="BC28"/>
  <c r="BO27"/>
  <c r="BC27"/>
  <c r="BO26"/>
  <c r="BC26"/>
  <c r="BC25" s="1"/>
  <c r="BO24"/>
  <c r="BC24"/>
  <c r="BO23"/>
  <c r="BC23"/>
  <c r="BC22" s="1"/>
  <c r="BO21"/>
  <c r="BC21"/>
  <c r="BO20"/>
  <c r="BC20"/>
  <c r="BC19" s="1"/>
  <c r="BO18"/>
  <c r="BC18"/>
  <c r="BO17"/>
  <c r="BC17"/>
  <c r="BO16"/>
  <c r="BC16"/>
  <c r="BC15" s="1"/>
  <c r="BO14"/>
  <c r="BC14"/>
  <c r="BO11"/>
  <c r="BC11"/>
  <c r="BO10"/>
  <c r="BC10"/>
  <c r="BO9"/>
  <c r="BC9"/>
  <c r="BO8"/>
  <c r="BC8"/>
  <c r="BC7" s="1"/>
  <c r="BO6"/>
  <c r="BC6"/>
  <c r="BC5" s="1"/>
  <c r="AW6"/>
  <c r="BO50"/>
  <c r="BO46"/>
  <c r="BO41"/>
  <c r="BO35"/>
  <c r="BO29"/>
  <c r="BO25"/>
  <c r="BO22"/>
  <c r="BO19"/>
  <c r="BO15"/>
  <c r="BO7"/>
  <c r="BX54" i="14"/>
  <c r="BZ54" s="1"/>
  <c r="BU54"/>
  <c r="BX53"/>
  <c r="BZ53" s="1"/>
  <c r="BU53"/>
  <c r="BX52"/>
  <c r="BZ52" s="1"/>
  <c r="BU52"/>
  <c r="BX51"/>
  <c r="BU51"/>
  <c r="BU50" s="1"/>
  <c r="BX49"/>
  <c r="BZ49" s="1"/>
  <c r="BU49"/>
  <c r="BX48"/>
  <c r="BZ48" s="1"/>
  <c r="BU48"/>
  <c r="BX47"/>
  <c r="BU47"/>
  <c r="BU46" s="1"/>
  <c r="BX45"/>
  <c r="BZ45" s="1"/>
  <c r="BU45"/>
  <c r="BX44"/>
  <c r="BZ44" s="1"/>
  <c r="BU44"/>
  <c r="BX43"/>
  <c r="BZ43" s="1"/>
  <c r="BU43"/>
  <c r="BX42"/>
  <c r="BU42"/>
  <c r="BU41" s="1"/>
  <c r="BX40"/>
  <c r="BZ40" s="1"/>
  <c r="BU40"/>
  <c r="BX39"/>
  <c r="BZ39" s="1"/>
  <c r="BU39"/>
  <c r="BX38"/>
  <c r="BZ38" s="1"/>
  <c r="BU38"/>
  <c r="BX37"/>
  <c r="BZ37" s="1"/>
  <c r="BU37"/>
  <c r="BX36"/>
  <c r="BU36"/>
  <c r="BU35" s="1"/>
  <c r="BX34"/>
  <c r="BZ34" s="1"/>
  <c r="BU34"/>
  <c r="BX33"/>
  <c r="BZ33" s="1"/>
  <c r="BU33"/>
  <c r="BX32"/>
  <c r="BZ32" s="1"/>
  <c r="BU32"/>
  <c r="BX31"/>
  <c r="BZ31" s="1"/>
  <c r="BU31"/>
  <c r="BX30"/>
  <c r="BU30"/>
  <c r="BU29" s="1"/>
  <c r="BX28"/>
  <c r="BZ28" s="1"/>
  <c r="BU28"/>
  <c r="BX27"/>
  <c r="BZ27" s="1"/>
  <c r="BU27"/>
  <c r="BX26"/>
  <c r="BU26"/>
  <c r="BU25" s="1"/>
  <c r="BX24"/>
  <c r="BU24"/>
  <c r="BX23"/>
  <c r="BX22" s="1"/>
  <c r="BU23"/>
  <c r="BU22" s="1"/>
  <c r="BX21"/>
  <c r="BZ21" s="1"/>
  <c r="BU21"/>
  <c r="BX20"/>
  <c r="BU20"/>
  <c r="BU19" s="1"/>
  <c r="BX18"/>
  <c r="BZ18" s="1"/>
  <c r="BU18"/>
  <c r="BX17"/>
  <c r="BZ17" s="1"/>
  <c r="BU17"/>
  <c r="BX16"/>
  <c r="BU16"/>
  <c r="BU15" s="1"/>
  <c r="BX14"/>
  <c r="BU14"/>
  <c r="BX13"/>
  <c r="BX12" s="1"/>
  <c r="BU13"/>
  <c r="BU12" s="1"/>
  <c r="BX11"/>
  <c r="BZ11" s="1"/>
  <c r="BU11"/>
  <c r="BX10"/>
  <c r="BZ10" s="1"/>
  <c r="BU10"/>
  <c r="BX9"/>
  <c r="BZ9" s="1"/>
  <c r="BU9"/>
  <c r="BX8"/>
  <c r="BU8"/>
  <c r="BU7" s="1"/>
  <c r="D6"/>
  <c r="F5" s="1"/>
  <c r="AK6"/>
  <c r="BU6"/>
  <c r="BU5" s="1"/>
  <c r="BU55" s="1"/>
  <c r="BX6"/>
  <c r="G54" i="15"/>
  <c r="BX54"/>
  <c r="BZ54" s="1"/>
  <c r="BU54"/>
  <c r="AH54"/>
  <c r="AJ54" s="1"/>
  <c r="AE54"/>
  <c r="AG54" s="1"/>
  <c r="G53"/>
  <c r="BX53"/>
  <c r="BZ53" s="1"/>
  <c r="BU53"/>
  <c r="AH53"/>
  <c r="AJ53" s="1"/>
  <c r="AE53"/>
  <c r="AG53" s="1"/>
  <c r="BX52"/>
  <c r="BZ52" s="1"/>
  <c r="BU52"/>
  <c r="AH52"/>
  <c r="AJ52" s="1"/>
  <c r="AJ50" s="1"/>
  <c r="AE52"/>
  <c r="AG52" s="1"/>
  <c r="AG50" s="1"/>
  <c r="BX51"/>
  <c r="BU51"/>
  <c r="BU50" s="1"/>
  <c r="AH51"/>
  <c r="AH50" s="1"/>
  <c r="AE51"/>
  <c r="AE50" s="1"/>
  <c r="G49"/>
  <c r="BX49"/>
  <c r="BZ49" s="1"/>
  <c r="BU49"/>
  <c r="AH49"/>
  <c r="AJ49" s="1"/>
  <c r="AE49"/>
  <c r="AG49" s="1"/>
  <c r="G48"/>
  <c r="BX48"/>
  <c r="BZ48" s="1"/>
  <c r="BU48"/>
  <c r="AH48"/>
  <c r="AJ48" s="1"/>
  <c r="AE48"/>
  <c r="AG48" s="1"/>
  <c r="G47"/>
  <c r="BX47"/>
  <c r="BU47"/>
  <c r="BU46" s="1"/>
  <c r="AH47"/>
  <c r="AE47"/>
  <c r="BX45"/>
  <c r="BZ45" s="1"/>
  <c r="BU45"/>
  <c r="AH45"/>
  <c r="AJ45" s="1"/>
  <c r="AE45"/>
  <c r="AG45" s="1"/>
  <c r="BX44"/>
  <c r="BZ44" s="1"/>
  <c r="BU44"/>
  <c r="AH44"/>
  <c r="AJ44" s="1"/>
  <c r="AE44"/>
  <c r="AG44" s="1"/>
  <c r="G43"/>
  <c r="BX43"/>
  <c r="BZ43" s="1"/>
  <c r="BU43"/>
  <c r="AH43"/>
  <c r="AJ43" s="1"/>
  <c r="AE43"/>
  <c r="AG43" s="1"/>
  <c r="G42"/>
  <c r="BX42"/>
  <c r="BU42"/>
  <c r="BU41" s="1"/>
  <c r="AH42"/>
  <c r="AE42"/>
  <c r="BX40"/>
  <c r="BZ40" s="1"/>
  <c r="BU40"/>
  <c r="AH40"/>
  <c r="AJ40" s="1"/>
  <c r="AE40"/>
  <c r="AG40" s="1"/>
  <c r="G39"/>
  <c r="BX39"/>
  <c r="BZ39" s="1"/>
  <c r="BU39"/>
  <c r="AH39"/>
  <c r="AJ39" s="1"/>
  <c r="AE39"/>
  <c r="AG39" s="1"/>
  <c r="BX38"/>
  <c r="BZ38" s="1"/>
  <c r="BU38"/>
  <c r="AH38"/>
  <c r="AJ38" s="1"/>
  <c r="AE38"/>
  <c r="AG38" s="1"/>
  <c r="BX37"/>
  <c r="BZ37" s="1"/>
  <c r="BU37"/>
  <c r="AH37"/>
  <c r="AJ37" s="1"/>
  <c r="AE37"/>
  <c r="AG37" s="1"/>
  <c r="G36"/>
  <c r="BX36"/>
  <c r="BU36"/>
  <c r="BU35" s="1"/>
  <c r="AH36"/>
  <c r="AE36"/>
  <c r="BX34"/>
  <c r="BZ34" s="1"/>
  <c r="BU34"/>
  <c r="AH34"/>
  <c r="AJ34" s="1"/>
  <c r="AE34"/>
  <c r="AG34" s="1"/>
  <c r="G33"/>
  <c r="BX33"/>
  <c r="BZ33" s="1"/>
  <c r="BU33"/>
  <c r="AH33"/>
  <c r="AJ33" s="1"/>
  <c r="AE33"/>
  <c r="AG33" s="1"/>
  <c r="BX32"/>
  <c r="BZ32" s="1"/>
  <c r="BU32"/>
  <c r="AH32"/>
  <c r="AE32"/>
  <c r="G31"/>
  <c r="BX31"/>
  <c r="BZ31" s="1"/>
  <c r="BU31"/>
  <c r="AH31"/>
  <c r="AJ31" s="1"/>
  <c r="AE31"/>
  <c r="AG31" s="1"/>
  <c r="BX30"/>
  <c r="BU30"/>
  <c r="BU29" s="1"/>
  <c r="AH30"/>
  <c r="AE30"/>
  <c r="G28"/>
  <c r="BX28"/>
  <c r="BZ28" s="1"/>
  <c r="BU28"/>
  <c r="AH28"/>
  <c r="AJ28" s="1"/>
  <c r="AE28"/>
  <c r="AG28" s="1"/>
  <c r="G27"/>
  <c r="BX27"/>
  <c r="BZ27" s="1"/>
  <c r="BU27"/>
  <c r="AH27"/>
  <c r="AJ27" s="1"/>
  <c r="AE27"/>
  <c r="AG27" s="1"/>
  <c r="G26"/>
  <c r="BX26"/>
  <c r="BU26"/>
  <c r="BU25" s="1"/>
  <c r="AH26"/>
  <c r="AE26"/>
  <c r="G24"/>
  <c r="BX24"/>
  <c r="BU24"/>
  <c r="AH24"/>
  <c r="AJ24" s="1"/>
  <c r="AE24"/>
  <c r="AG24" s="1"/>
  <c r="BX23"/>
  <c r="BX22" s="1"/>
  <c r="BU23"/>
  <c r="BU22" s="1"/>
  <c r="AH23"/>
  <c r="AE23"/>
  <c r="G21"/>
  <c r="BX21"/>
  <c r="BZ21" s="1"/>
  <c r="BU21"/>
  <c r="AH21"/>
  <c r="AJ21" s="1"/>
  <c r="AE21"/>
  <c r="AG21" s="1"/>
  <c r="BX20"/>
  <c r="BU20"/>
  <c r="BU19" s="1"/>
  <c r="AH20"/>
  <c r="AE20"/>
  <c r="AN18"/>
  <c r="AK18"/>
  <c r="BX18"/>
  <c r="BZ18" s="1"/>
  <c r="BU18"/>
  <c r="AH18"/>
  <c r="AJ18" s="1"/>
  <c r="AE18"/>
  <c r="AG18" s="1"/>
  <c r="AN17"/>
  <c r="AP17" s="1"/>
  <c r="AK17"/>
  <c r="BX17"/>
  <c r="BZ17" s="1"/>
  <c r="BU17"/>
  <c r="AH17"/>
  <c r="AJ17" s="1"/>
  <c r="AE17"/>
  <c r="AG17" s="1"/>
  <c r="AN16"/>
  <c r="AP16" s="1"/>
  <c r="AK16"/>
  <c r="BX16"/>
  <c r="BU16"/>
  <c r="BU15" s="1"/>
  <c r="AH16"/>
  <c r="AE16"/>
  <c r="G14"/>
  <c r="BX14"/>
  <c r="BU14"/>
  <c r="AH14"/>
  <c r="AJ14" s="1"/>
  <c r="AE14"/>
  <c r="AG14" s="1"/>
  <c r="BX11"/>
  <c r="BZ11" s="1"/>
  <c r="BU11"/>
  <c r="AH11"/>
  <c r="AJ11" s="1"/>
  <c r="AE11"/>
  <c r="AG11" s="1"/>
  <c r="BX10"/>
  <c r="BZ10" s="1"/>
  <c r="BU10"/>
  <c r="AH10"/>
  <c r="AJ10" s="1"/>
  <c r="AE10"/>
  <c r="AG10" s="1"/>
  <c r="BX9"/>
  <c r="BZ9" s="1"/>
  <c r="BU9"/>
  <c r="AH9"/>
  <c r="AJ9" s="1"/>
  <c r="AE9"/>
  <c r="AG9" s="1"/>
  <c r="G8"/>
  <c r="BX8"/>
  <c r="BU8"/>
  <c r="BU7" s="1"/>
  <c r="AH8"/>
  <c r="AE8"/>
  <c r="AK6"/>
  <c r="BO5"/>
  <c r="BX6"/>
  <c r="BU6"/>
  <c r="BU5" s="1"/>
  <c r="AE6"/>
  <c r="AH6"/>
  <c r="G52"/>
  <c r="BF52"/>
  <c r="AZ52"/>
  <c r="AW52"/>
  <c r="AT52"/>
  <c r="AQ52"/>
  <c r="AN52"/>
  <c r="AP52" s="1"/>
  <c r="AK52"/>
  <c r="D52"/>
  <c r="G51"/>
  <c r="G50" s="1"/>
  <c r="BF51"/>
  <c r="AZ51"/>
  <c r="AW51"/>
  <c r="AT51"/>
  <c r="AQ51"/>
  <c r="AN51"/>
  <c r="AK51"/>
  <c r="D51"/>
  <c r="G46"/>
  <c r="G45"/>
  <c r="BF45"/>
  <c r="AZ45"/>
  <c r="AW45"/>
  <c r="AT45"/>
  <c r="AQ45"/>
  <c r="AN45"/>
  <c r="AP45" s="1"/>
  <c r="AK45"/>
  <c r="D45"/>
  <c r="G44"/>
  <c r="BF44"/>
  <c r="AZ44"/>
  <c r="AW44"/>
  <c r="AT44"/>
  <c r="AQ44"/>
  <c r="AN44"/>
  <c r="AP44" s="1"/>
  <c r="AK44"/>
  <c r="D44"/>
  <c r="G41"/>
  <c r="G40"/>
  <c r="BF40"/>
  <c r="AZ40"/>
  <c r="AW40"/>
  <c r="AT40"/>
  <c r="AQ40"/>
  <c r="AN40"/>
  <c r="AP40" s="1"/>
  <c r="AK40"/>
  <c r="D40"/>
  <c r="G38"/>
  <c r="BF38"/>
  <c r="AZ38"/>
  <c r="AW38"/>
  <c r="AT38"/>
  <c r="AQ38"/>
  <c r="AN38"/>
  <c r="AK38"/>
  <c r="D38"/>
  <c r="G37"/>
  <c r="BF37"/>
  <c r="AZ37"/>
  <c r="AW37"/>
  <c r="AT37"/>
  <c r="AQ37"/>
  <c r="AN37"/>
  <c r="AP37" s="1"/>
  <c r="AK37"/>
  <c r="D37"/>
  <c r="G35"/>
  <c r="G34"/>
  <c r="BF34"/>
  <c r="AZ34"/>
  <c r="AW34"/>
  <c r="AT34"/>
  <c r="AQ34"/>
  <c r="AN34"/>
  <c r="AP34" s="1"/>
  <c r="AK34"/>
  <c r="D34"/>
  <c r="G32"/>
  <c r="BF32"/>
  <c r="AZ32"/>
  <c r="AW32"/>
  <c r="AT32"/>
  <c r="AQ32"/>
  <c r="AN32"/>
  <c r="AK32"/>
  <c r="D32"/>
  <c r="G30"/>
  <c r="BF30"/>
  <c r="AZ30"/>
  <c r="AW30"/>
  <c r="AT30"/>
  <c r="AQ30"/>
  <c r="AN30"/>
  <c r="AP30" s="1"/>
  <c r="AK30"/>
  <c r="D30"/>
  <c r="G25"/>
  <c r="G23"/>
  <c r="BF23"/>
  <c r="AZ23"/>
  <c r="AW23"/>
  <c r="AT23"/>
  <c r="AQ23"/>
  <c r="AN23"/>
  <c r="AK23"/>
  <c r="D23"/>
  <c r="G20"/>
  <c r="BF20"/>
  <c r="AZ20"/>
  <c r="AW20"/>
  <c r="AT20"/>
  <c r="AQ20"/>
  <c r="AN20"/>
  <c r="AP20" s="1"/>
  <c r="AK20"/>
  <c r="D20"/>
  <c r="G18"/>
  <c r="BF18"/>
  <c r="AZ18"/>
  <c r="AW18"/>
  <c r="AT18"/>
  <c r="AQ18"/>
  <c r="D18"/>
  <c r="G17"/>
  <c r="BF17"/>
  <c r="AZ17"/>
  <c r="AW17"/>
  <c r="AT17"/>
  <c r="AQ17"/>
  <c r="D17"/>
  <c r="G16"/>
  <c r="BF16"/>
  <c r="AZ16"/>
  <c r="AW16"/>
  <c r="AY16" s="1"/>
  <c r="AY15" s="1"/>
  <c r="AY55" s="1"/>
  <c r="AT16"/>
  <c r="AQ16"/>
  <c r="D16"/>
  <c r="G11"/>
  <c r="BF11"/>
  <c r="AZ11"/>
  <c r="AW11"/>
  <c r="AT11"/>
  <c r="AQ11"/>
  <c r="AN11"/>
  <c r="AP11" s="1"/>
  <c r="AK11"/>
  <c r="D11"/>
  <c r="G10"/>
  <c r="BF10"/>
  <c r="AZ10"/>
  <c r="AW10"/>
  <c r="AT10"/>
  <c r="AQ10"/>
  <c r="AN10"/>
  <c r="AP10" s="1"/>
  <c r="AK10"/>
  <c r="D10"/>
  <c r="G9"/>
  <c r="BF9"/>
  <c r="AZ9"/>
  <c r="AW9"/>
  <c r="AT9"/>
  <c r="AQ9"/>
  <c r="AN9"/>
  <c r="AP9" s="1"/>
  <c r="AK9"/>
  <c r="D9"/>
  <c r="G7"/>
  <c r="G6"/>
  <c r="I6" s="1"/>
  <c r="I5" s="1"/>
  <c r="I55" s="1"/>
  <c r="D6"/>
  <c r="BF6"/>
  <c r="AZ6"/>
  <c r="AT6"/>
  <c r="AQ6"/>
  <c r="AN6"/>
  <c r="AP6" s="1"/>
  <c r="I52" i="12"/>
  <c r="BF39" i="15"/>
  <c r="AZ39"/>
  <c r="AW39"/>
  <c r="AT39"/>
  <c r="AQ39"/>
  <c r="AN39"/>
  <c r="AP39" s="1"/>
  <c r="AK39"/>
  <c r="D39"/>
  <c r="N47" i="12"/>
  <c r="N43"/>
  <c r="N38"/>
  <c r="N32"/>
  <c r="N26"/>
  <c r="N22"/>
  <c r="N19"/>
  <c r="N16"/>
  <c r="N12"/>
  <c r="N9"/>
  <c r="N4"/>
  <c r="N52" s="1"/>
  <c r="K6"/>
  <c r="Q51"/>
  <c r="R51"/>
  <c r="Q50"/>
  <c r="R50"/>
  <c r="Q49"/>
  <c r="R49"/>
  <c r="Q48"/>
  <c r="Q47" s="1"/>
  <c r="R48"/>
  <c r="R47" s="1"/>
  <c r="Q46"/>
  <c r="R46"/>
  <c r="Q45"/>
  <c r="R45"/>
  <c r="Q44"/>
  <c r="Q43" s="1"/>
  <c r="R44"/>
  <c r="R43" s="1"/>
  <c r="Q42"/>
  <c r="R42"/>
  <c r="Q41"/>
  <c r="R41"/>
  <c r="Q40"/>
  <c r="R40"/>
  <c r="Q39"/>
  <c r="Q38" s="1"/>
  <c r="R39"/>
  <c r="R38" s="1"/>
  <c r="Q37"/>
  <c r="R37"/>
  <c r="Q36"/>
  <c r="R36"/>
  <c r="Q35"/>
  <c r="R35"/>
  <c r="Q34"/>
  <c r="R34"/>
  <c r="Q33"/>
  <c r="Q32" s="1"/>
  <c r="R33"/>
  <c r="R32" s="1"/>
  <c r="Q31"/>
  <c r="R31"/>
  <c r="Q30"/>
  <c r="R30"/>
  <c r="Q29"/>
  <c r="R29"/>
  <c r="Q28"/>
  <c r="R28"/>
  <c r="Q27"/>
  <c r="Q26" s="1"/>
  <c r="R27"/>
  <c r="R26" s="1"/>
  <c r="Q25"/>
  <c r="R25"/>
  <c r="Q24"/>
  <c r="R24"/>
  <c r="Q23"/>
  <c r="Q22" s="1"/>
  <c r="R23"/>
  <c r="R22" s="1"/>
  <c r="Q21"/>
  <c r="R21"/>
  <c r="Q19"/>
  <c r="R19"/>
  <c r="Q18"/>
  <c r="R18"/>
  <c r="Q17"/>
  <c r="Q16" s="1"/>
  <c r="R17"/>
  <c r="R16" s="1"/>
  <c r="Q14"/>
  <c r="R14"/>
  <c r="Q13"/>
  <c r="Q12" s="1"/>
  <c r="R13"/>
  <c r="R12" s="1"/>
  <c r="Q11"/>
  <c r="R11"/>
  <c r="Q8"/>
  <c r="R8"/>
  <c r="Q6"/>
  <c r="R6"/>
  <c r="Q5"/>
  <c r="Q4" s="1"/>
  <c r="R5"/>
  <c r="R4" s="1"/>
  <c r="F2"/>
  <c r="G3"/>
  <c r="J19"/>
  <c r="G19"/>
  <c r="K20"/>
  <c r="K19" s="1"/>
  <c r="G16"/>
  <c r="K17"/>
  <c r="K16" s="1"/>
  <c r="G12"/>
  <c r="K13"/>
  <c r="K12" s="1"/>
  <c r="J9"/>
  <c r="G9"/>
  <c r="K10"/>
  <c r="K9" s="1"/>
  <c r="J48"/>
  <c r="J47" s="1"/>
  <c r="G47"/>
  <c r="K48"/>
  <c r="K47" s="1"/>
  <c r="J44"/>
  <c r="J43" s="1"/>
  <c r="G43"/>
  <c r="K44"/>
  <c r="K43" s="1"/>
  <c r="G38"/>
  <c r="K39"/>
  <c r="K38" s="1"/>
  <c r="G32"/>
  <c r="K33"/>
  <c r="K32" s="1"/>
  <c r="J27"/>
  <c r="J26" s="1"/>
  <c r="G26"/>
  <c r="K27"/>
  <c r="K26" s="1"/>
  <c r="G22"/>
  <c r="K23"/>
  <c r="K22" s="1"/>
  <c r="F4"/>
  <c r="G5"/>
  <c r="J5" s="1"/>
  <c r="F52"/>
  <c r="BF47" i="15"/>
  <c r="AZ47"/>
  <c r="AW47"/>
  <c r="AT47"/>
  <c r="AQ47"/>
  <c r="AN47"/>
  <c r="AP47" s="1"/>
  <c r="AK47"/>
  <c r="D47"/>
  <c r="BF31"/>
  <c r="AZ31"/>
  <c r="AW31"/>
  <c r="AT31"/>
  <c r="AQ31"/>
  <c r="AN31"/>
  <c r="AP31" s="1"/>
  <c r="AK31"/>
  <c r="D31"/>
  <c r="BF8"/>
  <c r="AZ8"/>
  <c r="AW8"/>
  <c r="AW7" s="1"/>
  <c r="AT8"/>
  <c r="AQ8"/>
  <c r="AN8"/>
  <c r="AP8" s="1"/>
  <c r="AP7" s="1"/>
  <c r="AK8"/>
  <c r="D8"/>
  <c r="BF54"/>
  <c r="AZ54"/>
  <c r="AW54"/>
  <c r="AT54"/>
  <c r="AQ54"/>
  <c r="AN54"/>
  <c r="AP54" s="1"/>
  <c r="AK54"/>
  <c r="D54"/>
  <c r="BF53"/>
  <c r="AZ53"/>
  <c r="AW53"/>
  <c r="AT53"/>
  <c r="AQ53"/>
  <c r="AN53"/>
  <c r="AP53" s="1"/>
  <c r="AK53"/>
  <c r="D53"/>
  <c r="BF28"/>
  <c r="AZ28"/>
  <c r="AW28"/>
  <c r="AT28"/>
  <c r="AQ28"/>
  <c r="AN28"/>
  <c r="AP28" s="1"/>
  <c r="AK28"/>
  <c r="D28"/>
  <c r="BF26"/>
  <c r="AZ26"/>
  <c r="AW26"/>
  <c r="AT26"/>
  <c r="AQ26"/>
  <c r="AN26"/>
  <c r="AP26" s="1"/>
  <c r="AK26"/>
  <c r="D26"/>
  <c r="BF49"/>
  <c r="AZ49"/>
  <c r="AW49"/>
  <c r="AT49"/>
  <c r="AQ49"/>
  <c r="AN49"/>
  <c r="AK49"/>
  <c r="D49"/>
  <c r="BF48"/>
  <c r="AZ48"/>
  <c r="AW48"/>
  <c r="AT48"/>
  <c r="AQ48"/>
  <c r="AN48"/>
  <c r="AP48" s="1"/>
  <c r="AK48"/>
  <c r="D48"/>
  <c r="BF43"/>
  <c r="AZ43"/>
  <c r="AW43"/>
  <c r="AT43"/>
  <c r="AQ43"/>
  <c r="AN43"/>
  <c r="AP43" s="1"/>
  <c r="AK43"/>
  <c r="D43"/>
  <c r="BF42"/>
  <c r="AZ42"/>
  <c r="AW42"/>
  <c r="AT42"/>
  <c r="AQ42"/>
  <c r="AN42"/>
  <c r="AP42" s="1"/>
  <c r="AP41" s="1"/>
  <c r="AK42"/>
  <c r="D42"/>
  <c r="BF36"/>
  <c r="AZ36"/>
  <c r="AW36"/>
  <c r="AT36"/>
  <c r="AQ36"/>
  <c r="AN36"/>
  <c r="AK36"/>
  <c r="D36"/>
  <c r="BF33"/>
  <c r="AZ33"/>
  <c r="AW33"/>
  <c r="AT33"/>
  <c r="AQ33"/>
  <c r="AN33"/>
  <c r="AP33" s="1"/>
  <c r="AK33"/>
  <c r="D33"/>
  <c r="BF27"/>
  <c r="AZ27"/>
  <c r="AW27"/>
  <c r="AT27"/>
  <c r="AQ27"/>
  <c r="AN27"/>
  <c r="AP27" s="1"/>
  <c r="AK27"/>
  <c r="D27"/>
  <c r="BF24"/>
  <c r="AZ24"/>
  <c r="AW24"/>
  <c r="AT24"/>
  <c r="AQ24"/>
  <c r="AN24"/>
  <c r="AK24"/>
  <c r="D24"/>
  <c r="BF21"/>
  <c r="AZ21"/>
  <c r="AW21"/>
  <c r="AT21"/>
  <c r="AQ21"/>
  <c r="AN21"/>
  <c r="AP21" s="1"/>
  <c r="AK21"/>
  <c r="D21"/>
  <c r="BF14"/>
  <c r="AZ14"/>
  <c r="AW14"/>
  <c r="AT14"/>
  <c r="AQ14"/>
  <c r="AN14"/>
  <c r="AK14"/>
  <c r="D14"/>
  <c r="E39" i="24"/>
  <c r="BF54" i="14"/>
  <c r="AZ54"/>
  <c r="AW54"/>
  <c r="AT54"/>
  <c r="AQ54"/>
  <c r="AN54"/>
  <c r="AK54"/>
  <c r="BF53"/>
  <c r="AZ53"/>
  <c r="AW53"/>
  <c r="AT53"/>
  <c r="AQ53"/>
  <c r="AN53"/>
  <c r="AP53" s="1"/>
  <c r="AK53"/>
  <c r="BF52"/>
  <c r="AZ52"/>
  <c r="AW52"/>
  <c r="AT52"/>
  <c r="AQ52"/>
  <c r="AN52"/>
  <c r="AP52" s="1"/>
  <c r="AK52"/>
  <c r="BF51"/>
  <c r="AZ51"/>
  <c r="AW51"/>
  <c r="AT51"/>
  <c r="AQ51"/>
  <c r="AN51"/>
  <c r="AK51"/>
  <c r="BF49"/>
  <c r="AZ49"/>
  <c r="AW49"/>
  <c r="AT49"/>
  <c r="AQ49"/>
  <c r="AN49"/>
  <c r="AK49"/>
  <c r="BF48"/>
  <c r="AZ48"/>
  <c r="AW48"/>
  <c r="AT48"/>
  <c r="AQ48"/>
  <c r="AN48"/>
  <c r="AK48"/>
  <c r="BF47"/>
  <c r="AZ47"/>
  <c r="AW47"/>
  <c r="AT47"/>
  <c r="AQ47"/>
  <c r="AN47"/>
  <c r="AP47" s="1"/>
  <c r="AK47"/>
  <c r="BF45"/>
  <c r="AZ45"/>
  <c r="AW45"/>
  <c r="AT45"/>
  <c r="AQ45"/>
  <c r="AN45"/>
  <c r="AP45" s="1"/>
  <c r="AK45"/>
  <c r="BF44"/>
  <c r="AZ44"/>
  <c r="AW44"/>
  <c r="AT44"/>
  <c r="AQ44"/>
  <c r="AN44"/>
  <c r="AP44" s="1"/>
  <c r="AK44"/>
  <c r="BF43"/>
  <c r="AZ43"/>
  <c r="AW43"/>
  <c r="AT43"/>
  <c r="AQ43"/>
  <c r="AN43"/>
  <c r="AP43" s="1"/>
  <c r="AK43"/>
  <c r="BF42"/>
  <c r="AZ42"/>
  <c r="AW42"/>
  <c r="AT42"/>
  <c r="AQ42"/>
  <c r="AN42"/>
  <c r="AK42"/>
  <c r="BF40"/>
  <c r="AZ40"/>
  <c r="AW40"/>
  <c r="AT40"/>
  <c r="AQ40"/>
  <c r="AN40"/>
  <c r="AP40" s="1"/>
  <c r="AK40"/>
  <c r="BF39"/>
  <c r="AZ39"/>
  <c r="AW39"/>
  <c r="AT39"/>
  <c r="AQ39"/>
  <c r="AN39"/>
  <c r="AP39" s="1"/>
  <c r="AK39"/>
  <c r="BF38"/>
  <c r="AZ38"/>
  <c r="AW38"/>
  <c r="AT38"/>
  <c r="AQ38"/>
  <c r="AN38"/>
  <c r="AK38"/>
  <c r="BF37"/>
  <c r="AZ37"/>
  <c r="AW37"/>
  <c r="AT37"/>
  <c r="AQ37"/>
  <c r="AN37"/>
  <c r="AP37" s="1"/>
  <c r="AK37"/>
  <c r="BF36"/>
  <c r="AZ36"/>
  <c r="AW36"/>
  <c r="AT36"/>
  <c r="AQ36"/>
  <c r="AN36"/>
  <c r="AK36"/>
  <c r="BF34"/>
  <c r="AZ34"/>
  <c r="AW34"/>
  <c r="AT34"/>
  <c r="AQ34"/>
  <c r="AN34"/>
  <c r="AP34" s="1"/>
  <c r="AK34"/>
  <c r="BF33"/>
  <c r="AZ33"/>
  <c r="AW33"/>
  <c r="AT33"/>
  <c r="AQ33"/>
  <c r="AN33"/>
  <c r="AK33"/>
  <c r="BF32"/>
  <c r="AZ32"/>
  <c r="AW32"/>
  <c r="AT32"/>
  <c r="AQ32"/>
  <c r="AN32"/>
  <c r="AK32"/>
  <c r="BF31"/>
  <c r="AZ31"/>
  <c r="AW31"/>
  <c r="AT31"/>
  <c r="AQ31"/>
  <c r="AN31"/>
  <c r="AP31" s="1"/>
  <c r="AK31"/>
  <c r="BF30"/>
  <c r="AZ30"/>
  <c r="AW30"/>
  <c r="AT30"/>
  <c r="AQ30"/>
  <c r="AN30"/>
  <c r="AP30" s="1"/>
  <c r="AK30"/>
  <c r="BF28"/>
  <c r="AZ28"/>
  <c r="AW28"/>
  <c r="AT28"/>
  <c r="AQ28"/>
  <c r="AN28"/>
  <c r="AP28" s="1"/>
  <c r="AK28"/>
  <c r="BF27"/>
  <c r="AZ27"/>
  <c r="AW27"/>
  <c r="AT27"/>
  <c r="AQ27"/>
  <c r="AN27"/>
  <c r="AP27" s="1"/>
  <c r="AK27"/>
  <c r="BF26"/>
  <c r="AZ26"/>
  <c r="AW26"/>
  <c r="AT26"/>
  <c r="AQ26"/>
  <c r="AN26"/>
  <c r="AK26"/>
  <c r="BF24"/>
  <c r="AZ24"/>
  <c r="AW24"/>
  <c r="AT24"/>
  <c r="AQ24"/>
  <c r="AN24"/>
  <c r="AK24"/>
  <c r="BF23"/>
  <c r="AZ23"/>
  <c r="AW23"/>
  <c r="AT23"/>
  <c r="AQ23"/>
  <c r="AN23"/>
  <c r="AK23"/>
  <c r="BF21"/>
  <c r="AZ21"/>
  <c r="AW21"/>
  <c r="AT21"/>
  <c r="AQ21"/>
  <c r="AN21"/>
  <c r="AP21" s="1"/>
  <c r="AK21"/>
  <c r="BF20"/>
  <c r="AZ20"/>
  <c r="AW20"/>
  <c r="AT20"/>
  <c r="AQ20"/>
  <c r="AN20"/>
  <c r="AK20"/>
  <c r="BF18"/>
  <c r="AZ18"/>
  <c r="AW18"/>
  <c r="AT18"/>
  <c r="AQ18"/>
  <c r="AN18"/>
  <c r="AK18"/>
  <c r="BF17"/>
  <c r="AZ17"/>
  <c r="AW17"/>
  <c r="AT17"/>
  <c r="AQ17"/>
  <c r="AN17"/>
  <c r="AP17" s="1"/>
  <c r="AK17"/>
  <c r="BF16"/>
  <c r="AZ16"/>
  <c r="AW16"/>
  <c r="AT16"/>
  <c r="AQ16"/>
  <c r="AN16"/>
  <c r="AK16"/>
  <c r="BF14"/>
  <c r="AZ14"/>
  <c r="AW14"/>
  <c r="AT14"/>
  <c r="AQ14"/>
  <c r="AN14"/>
  <c r="AK14"/>
  <c r="BF13"/>
  <c r="AZ13"/>
  <c r="AW13"/>
  <c r="AT13"/>
  <c r="AQ13"/>
  <c r="AN13"/>
  <c r="AK13"/>
  <c r="BF11"/>
  <c r="AZ11"/>
  <c r="AW11"/>
  <c r="AT11"/>
  <c r="AQ11"/>
  <c r="AN11"/>
  <c r="AP11" s="1"/>
  <c r="AK11"/>
  <c r="BF10"/>
  <c r="AZ10"/>
  <c r="AW10"/>
  <c r="AT10"/>
  <c r="AQ10"/>
  <c r="AN10"/>
  <c r="AP10" s="1"/>
  <c r="AK10"/>
  <c r="BF9"/>
  <c r="AZ9"/>
  <c r="AW9"/>
  <c r="AT9"/>
  <c r="AQ9"/>
  <c r="AN9"/>
  <c r="AP9" s="1"/>
  <c r="AK9"/>
  <c r="BF8"/>
  <c r="AZ8"/>
  <c r="AW8"/>
  <c r="AT8"/>
  <c r="AQ8"/>
  <c r="AN8"/>
  <c r="AK8"/>
  <c r="BF6"/>
  <c r="AZ6"/>
  <c r="AW6"/>
  <c r="AT6"/>
  <c r="AQ6"/>
  <c r="AN6"/>
  <c r="D5"/>
  <c r="D54"/>
  <c r="D53"/>
  <c r="D52"/>
  <c r="D51"/>
  <c r="D50" s="1"/>
  <c r="D49"/>
  <c r="D48"/>
  <c r="D47"/>
  <c r="D45"/>
  <c r="D44"/>
  <c r="D43"/>
  <c r="D42"/>
  <c r="D40"/>
  <c r="D39"/>
  <c r="D38"/>
  <c r="D37"/>
  <c r="D36"/>
  <c r="D34"/>
  <c r="D33"/>
  <c r="D32"/>
  <c r="D31"/>
  <c r="D30"/>
  <c r="D28"/>
  <c r="D27"/>
  <c r="D26"/>
  <c r="D24"/>
  <c r="D23"/>
  <c r="D21"/>
  <c r="D20"/>
  <c r="D18"/>
  <c r="D17"/>
  <c r="D16"/>
  <c r="D14"/>
  <c r="D13"/>
  <c r="D11"/>
  <c r="D10"/>
  <c r="D9"/>
  <c r="D8"/>
  <c r="G6"/>
  <c r="G54"/>
  <c r="G53"/>
  <c r="G52"/>
  <c r="I50" s="1"/>
  <c r="G51"/>
  <c r="G50" s="1"/>
  <c r="G49"/>
  <c r="G48"/>
  <c r="G47"/>
  <c r="G45"/>
  <c r="G44"/>
  <c r="G43"/>
  <c r="G42"/>
  <c r="I41" s="1"/>
  <c r="G40"/>
  <c r="G39"/>
  <c r="G38"/>
  <c r="G37"/>
  <c r="G36"/>
  <c r="I35" s="1"/>
  <c r="G34"/>
  <c r="G33"/>
  <c r="G32"/>
  <c r="G31"/>
  <c r="G30"/>
  <c r="G28"/>
  <c r="G27"/>
  <c r="G26"/>
  <c r="I25" s="1"/>
  <c r="G24"/>
  <c r="G23"/>
  <c r="G21"/>
  <c r="G20"/>
  <c r="G18"/>
  <c r="G17"/>
  <c r="G16"/>
  <c r="G14"/>
  <c r="G13"/>
  <c r="G11"/>
  <c r="G10"/>
  <c r="G9"/>
  <c r="G8"/>
  <c r="AE6"/>
  <c r="AE54"/>
  <c r="AE53"/>
  <c r="AG53" s="1"/>
  <c r="AE52"/>
  <c r="AG52" s="1"/>
  <c r="AE51"/>
  <c r="AE49"/>
  <c r="AG49" s="1"/>
  <c r="AE48"/>
  <c r="AE47"/>
  <c r="AG47" s="1"/>
  <c r="AE45"/>
  <c r="AG45" s="1"/>
  <c r="AE44"/>
  <c r="AG44" s="1"/>
  <c r="AE43"/>
  <c r="AG43" s="1"/>
  <c r="AE42"/>
  <c r="AE40"/>
  <c r="AG40" s="1"/>
  <c r="AE39"/>
  <c r="AG39" s="1"/>
  <c r="AE38"/>
  <c r="AG38" s="1"/>
  <c r="AE37"/>
  <c r="AG37" s="1"/>
  <c r="AE36"/>
  <c r="AE34"/>
  <c r="AG34" s="1"/>
  <c r="AE33"/>
  <c r="AE32"/>
  <c r="AE31"/>
  <c r="AG31" s="1"/>
  <c r="AE30"/>
  <c r="AG30" s="1"/>
  <c r="AE28"/>
  <c r="AG28" s="1"/>
  <c r="AE27"/>
  <c r="AG27" s="1"/>
  <c r="AE26"/>
  <c r="AE24"/>
  <c r="AG24" s="1"/>
  <c r="AE23"/>
  <c r="AE21"/>
  <c r="AG21" s="1"/>
  <c r="AE20"/>
  <c r="AE18"/>
  <c r="AG18" s="1"/>
  <c r="AE17"/>
  <c r="AG17" s="1"/>
  <c r="AE16"/>
  <c r="AE14"/>
  <c r="AG14" s="1"/>
  <c r="AE13"/>
  <c r="AE11"/>
  <c r="AG11" s="1"/>
  <c r="AE10"/>
  <c r="AG10" s="1"/>
  <c r="AE9"/>
  <c r="AG9" s="1"/>
  <c r="AE8"/>
  <c r="AH6"/>
  <c r="AH54"/>
  <c r="AH53"/>
  <c r="AJ53" s="1"/>
  <c r="AH52"/>
  <c r="AJ52" s="1"/>
  <c r="AH51"/>
  <c r="AH49"/>
  <c r="AJ49" s="1"/>
  <c r="AH48"/>
  <c r="AH47"/>
  <c r="AJ47" s="1"/>
  <c r="AH45"/>
  <c r="AJ45" s="1"/>
  <c r="AH44"/>
  <c r="AJ44" s="1"/>
  <c r="AH43"/>
  <c r="AJ43" s="1"/>
  <c r="AH42"/>
  <c r="AH40"/>
  <c r="AJ40" s="1"/>
  <c r="AH39"/>
  <c r="AJ39" s="1"/>
  <c r="AH38"/>
  <c r="AJ38" s="1"/>
  <c r="AH37"/>
  <c r="AJ37" s="1"/>
  <c r="AH36"/>
  <c r="AH34"/>
  <c r="AJ34" s="1"/>
  <c r="AH33"/>
  <c r="AH32"/>
  <c r="AH31"/>
  <c r="AJ31" s="1"/>
  <c r="AH30"/>
  <c r="AJ30" s="1"/>
  <c r="AH28"/>
  <c r="AJ28" s="1"/>
  <c r="AH27"/>
  <c r="AJ27" s="1"/>
  <c r="AH26"/>
  <c r="AH24"/>
  <c r="AJ24" s="1"/>
  <c r="AH23"/>
  <c r="AH21"/>
  <c r="AJ21" s="1"/>
  <c r="AH20"/>
  <c r="AH18"/>
  <c r="AJ18" s="1"/>
  <c r="AH17"/>
  <c r="AJ17" s="1"/>
  <c r="AH16"/>
  <c r="AH14"/>
  <c r="AJ14" s="1"/>
  <c r="AH13"/>
  <c r="AH11"/>
  <c r="AJ11" s="1"/>
  <c r="AH10"/>
  <c r="AJ10" s="1"/>
  <c r="AH9"/>
  <c r="AJ9" s="1"/>
  <c r="AH8"/>
  <c r="F10" i="29"/>
  <c r="E10"/>
  <c r="Q9"/>
  <c r="L9"/>
  <c r="J9"/>
  <c r="I9"/>
  <c r="H9"/>
  <c r="H19" s="1"/>
  <c r="G9"/>
  <c r="G19" s="1"/>
  <c r="J19" s="1"/>
  <c r="K19" s="1"/>
  <c r="R8"/>
  <c r="Q8"/>
  <c r="L8"/>
  <c r="J8"/>
  <c r="I8"/>
  <c r="H8"/>
  <c r="H18" s="1"/>
  <c r="G8"/>
  <c r="G18" s="1"/>
  <c r="J18" s="1"/>
  <c r="K18" s="1"/>
  <c r="L7"/>
  <c r="J7"/>
  <c r="I7"/>
  <c r="H7"/>
  <c r="H17" s="1"/>
  <c r="G7"/>
  <c r="G17" s="1"/>
  <c r="J17" s="1"/>
  <c r="K17" s="1"/>
  <c r="L6"/>
  <c r="H16"/>
  <c r="L5"/>
  <c r="J5"/>
  <c r="I5"/>
  <c r="H5"/>
  <c r="H15" s="1"/>
  <c r="G5"/>
  <c r="G15" s="1"/>
  <c r="J15" s="1"/>
  <c r="H4"/>
  <c r="L4"/>
  <c r="J3"/>
  <c r="J10" s="1"/>
  <c r="I3"/>
  <c r="I10" s="1"/>
  <c r="H3"/>
  <c r="H13" s="1"/>
  <c r="C10"/>
  <c r="H195" i="27"/>
  <c r="H196"/>
  <c r="H197"/>
  <c r="H198"/>
  <c r="H199"/>
  <c r="H194"/>
  <c r="H186"/>
  <c r="H187"/>
  <c r="H188"/>
  <c r="H189"/>
  <c r="H190"/>
  <c r="H185"/>
  <c r="H177"/>
  <c r="H178"/>
  <c r="H179"/>
  <c r="H180"/>
  <c r="H181"/>
  <c r="H176"/>
  <c r="H158"/>
  <c r="H159"/>
  <c r="H160"/>
  <c r="H161"/>
  <c r="H162"/>
  <c r="H157"/>
  <c r="H149"/>
  <c r="H150"/>
  <c r="H151"/>
  <c r="H152"/>
  <c r="H153"/>
  <c r="H148"/>
  <c r="H140"/>
  <c r="H141"/>
  <c r="H142"/>
  <c r="H143"/>
  <c r="H144"/>
  <c r="H139"/>
  <c r="H140" i="26"/>
  <c r="H141"/>
  <c r="H142"/>
  <c r="H143"/>
  <c r="H144"/>
  <c r="H139"/>
  <c r="I144" i="27"/>
  <c r="J144" s="1"/>
  <c r="D135" i="28" s="1"/>
  <c r="I143" i="27"/>
  <c r="J143" s="1"/>
  <c r="D134" i="28" s="1"/>
  <c r="I142" i="27"/>
  <c r="J142" s="1"/>
  <c r="D133" i="28" s="1"/>
  <c r="H133" s="1"/>
  <c r="I141" i="27"/>
  <c r="J141" s="1"/>
  <c r="D132" i="28" s="1"/>
  <c r="H132" s="1"/>
  <c r="I140" i="27"/>
  <c r="J140" s="1"/>
  <c r="D131" i="28" s="1"/>
  <c r="I139" i="27"/>
  <c r="J139" s="1"/>
  <c r="D130" i="28" s="1"/>
  <c r="H130" s="1"/>
  <c r="H136" s="1"/>
  <c r="I144" i="26"/>
  <c r="J144" s="1"/>
  <c r="C135" i="28" s="1"/>
  <c r="I143" i="26"/>
  <c r="J143" s="1"/>
  <c r="C134" i="28" s="1"/>
  <c r="I142" i="26"/>
  <c r="J142" s="1"/>
  <c r="C133" i="28" s="1"/>
  <c r="G133" s="1"/>
  <c r="I141" i="26"/>
  <c r="J141" s="1"/>
  <c r="C132" i="28" s="1"/>
  <c r="G132" s="1"/>
  <c r="I140" i="26"/>
  <c r="J140" s="1"/>
  <c r="C131" i="28" s="1"/>
  <c r="I139" i="26"/>
  <c r="J139" s="1"/>
  <c r="C130" i="28" s="1"/>
  <c r="G130" s="1"/>
  <c r="G136" s="1"/>
  <c r="H122" i="27"/>
  <c r="H123"/>
  <c r="H124"/>
  <c r="H125"/>
  <c r="H126"/>
  <c r="H121"/>
  <c r="H104"/>
  <c r="H105"/>
  <c r="H106"/>
  <c r="H107"/>
  <c r="H108"/>
  <c r="H103"/>
  <c r="H94"/>
  <c r="H95"/>
  <c r="H96"/>
  <c r="H97"/>
  <c r="H98"/>
  <c r="H93"/>
  <c r="H85"/>
  <c r="H86"/>
  <c r="H87"/>
  <c r="H88"/>
  <c r="H89"/>
  <c r="H84"/>
  <c r="H76"/>
  <c r="H77"/>
  <c r="H78"/>
  <c r="H79"/>
  <c r="H80"/>
  <c r="H75"/>
  <c r="H67"/>
  <c r="H68"/>
  <c r="H69"/>
  <c r="H70"/>
  <c r="H71"/>
  <c r="H66"/>
  <c r="H47" i="26"/>
  <c r="H48"/>
  <c r="H49"/>
  <c r="H50"/>
  <c r="H51"/>
  <c r="H46"/>
  <c r="H47" i="27"/>
  <c r="H48"/>
  <c r="H49"/>
  <c r="H50"/>
  <c r="H51"/>
  <c r="H46"/>
  <c r="H38"/>
  <c r="H39"/>
  <c r="H40"/>
  <c r="H41"/>
  <c r="H42"/>
  <c r="H37"/>
  <c r="H29"/>
  <c r="H30"/>
  <c r="H31"/>
  <c r="H32"/>
  <c r="H33"/>
  <c r="H28"/>
  <c r="H18"/>
  <c r="H19"/>
  <c r="H20"/>
  <c r="H21"/>
  <c r="H22"/>
  <c r="H23"/>
  <c r="I18"/>
  <c r="I199"/>
  <c r="J199" s="1"/>
  <c r="D189" i="28" s="1"/>
  <c r="I198" i="27"/>
  <c r="J198" s="1"/>
  <c r="D188" i="28" s="1"/>
  <c r="I197" i="27"/>
  <c r="J197" s="1"/>
  <c r="D187" i="28" s="1"/>
  <c r="H187" s="1"/>
  <c r="I196" i="27"/>
  <c r="J196" s="1"/>
  <c r="D186" i="28" s="1"/>
  <c r="H186" s="1"/>
  <c r="I195" i="27"/>
  <c r="J195" s="1"/>
  <c r="D185" i="28" s="1"/>
  <c r="I194" i="27"/>
  <c r="J194" s="1"/>
  <c r="D184" i="28" s="1"/>
  <c r="H184" s="1"/>
  <c r="H190" s="1"/>
  <c r="I190" i="27"/>
  <c r="J190" s="1"/>
  <c r="D181" i="28" s="1"/>
  <c r="I189" i="27"/>
  <c r="J189" s="1"/>
  <c r="D180" i="28" s="1"/>
  <c r="H180" s="1"/>
  <c r="I188" i="27"/>
  <c r="J188" s="1"/>
  <c r="D178" i="28" s="1"/>
  <c r="H178" s="1"/>
  <c r="I187" i="27"/>
  <c r="J187" s="1"/>
  <c r="D177" i="28" s="1"/>
  <c r="H177" s="1"/>
  <c r="I186" i="27"/>
  <c r="J186" s="1"/>
  <c r="D176" i="28" s="1"/>
  <c r="I185" i="27"/>
  <c r="J185" s="1"/>
  <c r="D175" i="28" s="1"/>
  <c r="H175" s="1"/>
  <c r="H182" s="1"/>
  <c r="G182" i="27"/>
  <c r="F182"/>
  <c r="I181"/>
  <c r="J181" s="1"/>
  <c r="D171" i="28" s="1"/>
  <c r="H171" s="1"/>
  <c r="E181" i="27"/>
  <c r="I180"/>
  <c r="J180" s="1"/>
  <c r="D170" i="28" s="1"/>
  <c r="H170" s="1"/>
  <c r="E180" i="27"/>
  <c r="I179"/>
  <c r="J179" s="1"/>
  <c r="D169" i="28" s="1"/>
  <c r="H169" s="1"/>
  <c r="E179" i="27"/>
  <c r="I178"/>
  <c r="J178" s="1"/>
  <c r="D168" i="28" s="1"/>
  <c r="E178" i="27"/>
  <c r="I177"/>
  <c r="J177" s="1"/>
  <c r="D167" i="28" s="1"/>
  <c r="E177" i="27"/>
  <c r="I176"/>
  <c r="J176" s="1"/>
  <c r="D166" i="28" s="1"/>
  <c r="H166" s="1"/>
  <c r="H172" s="1"/>
  <c r="E176" i="27"/>
  <c r="I162"/>
  <c r="J162" s="1"/>
  <c r="D155" i="28" s="1"/>
  <c r="I161" i="27"/>
  <c r="J161" s="1"/>
  <c r="D154" i="28" s="1"/>
  <c r="H154" s="1"/>
  <c r="I160" i="27"/>
  <c r="J160" s="1"/>
  <c r="D152" i="28" s="1"/>
  <c r="H152" s="1"/>
  <c r="I159" i="27"/>
  <c r="J159" s="1"/>
  <c r="D151" i="28" s="1"/>
  <c r="H151" s="1"/>
  <c r="I158" i="27"/>
  <c r="J158" s="1"/>
  <c r="D150" i="28" s="1"/>
  <c r="I157" i="27"/>
  <c r="J157" s="1"/>
  <c r="D149" i="28" s="1"/>
  <c r="H149" s="1"/>
  <c r="H156" s="1"/>
  <c r="I153" i="27"/>
  <c r="J153" s="1"/>
  <c r="D145" i="28" s="1"/>
  <c r="I152" i="27"/>
  <c r="J152" s="1"/>
  <c r="D144" i="28" s="1"/>
  <c r="H144" s="1"/>
  <c r="I151" i="27"/>
  <c r="J151" s="1"/>
  <c r="D142" i="28" s="1"/>
  <c r="H142" s="1"/>
  <c r="I150" i="27"/>
  <c r="J150" s="1"/>
  <c r="D141" i="28" s="1"/>
  <c r="H141" s="1"/>
  <c r="I149" i="27"/>
  <c r="J149" s="1"/>
  <c r="D140" i="28" s="1"/>
  <c r="I148" i="27"/>
  <c r="J148" s="1"/>
  <c r="D139" i="28" s="1"/>
  <c r="H139" s="1"/>
  <c r="H146" s="1"/>
  <c r="I126" i="27"/>
  <c r="J126" s="1"/>
  <c r="D117" i="28" s="1"/>
  <c r="I125" i="27"/>
  <c r="J125" s="1"/>
  <c r="D116" i="28" s="1"/>
  <c r="I124" i="27"/>
  <c r="J124" s="1"/>
  <c r="D115" i="28" s="1"/>
  <c r="H115" s="1"/>
  <c r="I123" i="27"/>
  <c r="J123" s="1"/>
  <c r="D114" i="28" s="1"/>
  <c r="H114" s="1"/>
  <c r="I122" i="27"/>
  <c r="J122" s="1"/>
  <c r="D113" i="28" s="1"/>
  <c r="I121" i="27"/>
  <c r="J121" s="1"/>
  <c r="D112" i="28" s="1"/>
  <c r="H112" s="1"/>
  <c r="H118" s="1"/>
  <c r="G109" i="27"/>
  <c r="F109"/>
  <c r="I108"/>
  <c r="J108" s="1"/>
  <c r="D99" i="28" s="1"/>
  <c r="H99" s="1"/>
  <c r="E108" i="27"/>
  <c r="I107"/>
  <c r="J107" s="1"/>
  <c r="D98" i="28" s="1"/>
  <c r="H98" s="1"/>
  <c r="E107" i="27"/>
  <c r="I106"/>
  <c r="J106" s="1"/>
  <c r="D97" i="28" s="1"/>
  <c r="H97" s="1"/>
  <c r="E106" i="27"/>
  <c r="I105"/>
  <c r="J105" s="1"/>
  <c r="D96" i="28" s="1"/>
  <c r="E105" i="27"/>
  <c r="I104"/>
  <c r="J104" s="1"/>
  <c r="D95" i="28" s="1"/>
  <c r="E104" i="27"/>
  <c r="I103"/>
  <c r="J103" s="1"/>
  <c r="D94" i="28" s="1"/>
  <c r="H94" s="1"/>
  <c r="H100" s="1"/>
  <c r="E103" i="27"/>
  <c r="I98"/>
  <c r="J98" s="1"/>
  <c r="D91" i="28" s="1"/>
  <c r="I97" i="27"/>
  <c r="J97" s="1"/>
  <c r="D90" i="28" s="1"/>
  <c r="I96" i="27"/>
  <c r="J96" s="1"/>
  <c r="D89" i="28" s="1"/>
  <c r="H89" s="1"/>
  <c r="I95" i="27"/>
  <c r="J95" s="1"/>
  <c r="D88" i="28" s="1"/>
  <c r="H88" s="1"/>
  <c r="I94" i="27"/>
  <c r="J94" s="1"/>
  <c r="D87" i="28" s="1"/>
  <c r="I93" i="27"/>
  <c r="J93" s="1"/>
  <c r="D86" i="28" s="1"/>
  <c r="H86" s="1"/>
  <c r="H92" s="1"/>
  <c r="I89" i="27"/>
  <c r="J89" s="1"/>
  <c r="D83" i="28" s="1"/>
  <c r="I88" i="27"/>
  <c r="J88" s="1"/>
  <c r="D82" i="28" s="1"/>
  <c r="H82" s="1"/>
  <c r="I87" i="27"/>
  <c r="J87" s="1"/>
  <c r="D80" i="28" s="1"/>
  <c r="H80" s="1"/>
  <c r="I86" i="27"/>
  <c r="J86" s="1"/>
  <c r="D79" i="28" s="1"/>
  <c r="H79" s="1"/>
  <c r="I85" i="27"/>
  <c r="J85" s="1"/>
  <c r="D78" i="28" s="1"/>
  <c r="I84" i="27"/>
  <c r="J84" s="1"/>
  <c r="D77" i="28" s="1"/>
  <c r="H77" s="1"/>
  <c r="H84" s="1"/>
  <c r="I80" i="27"/>
  <c r="J80" s="1"/>
  <c r="D73" i="28" s="1"/>
  <c r="I79" i="27"/>
  <c r="J79" s="1"/>
  <c r="D72" i="28" s="1"/>
  <c r="H72" s="1"/>
  <c r="I78" i="27"/>
  <c r="J78" s="1"/>
  <c r="D70" i="28" s="1"/>
  <c r="H70" s="1"/>
  <c r="I77" i="27"/>
  <c r="J77" s="1"/>
  <c r="D69" i="28" s="1"/>
  <c r="H69" s="1"/>
  <c r="I76" i="27"/>
  <c r="J76" s="1"/>
  <c r="D68" i="28" s="1"/>
  <c r="I75" i="27"/>
  <c r="J75" s="1"/>
  <c r="D67" i="28" s="1"/>
  <c r="H67" s="1"/>
  <c r="H74" s="1"/>
  <c r="G72" i="27"/>
  <c r="F72"/>
  <c r="I71"/>
  <c r="J71" s="1"/>
  <c r="D63" i="28" s="1"/>
  <c r="H63" s="1"/>
  <c r="E71" i="27"/>
  <c r="I70"/>
  <c r="J70" s="1"/>
  <c r="D62" i="28" s="1"/>
  <c r="H62" s="1"/>
  <c r="E70" i="27"/>
  <c r="I69"/>
  <c r="J69" s="1"/>
  <c r="D61" i="28" s="1"/>
  <c r="H61" s="1"/>
  <c r="E69" i="27"/>
  <c r="I68"/>
  <c r="J68" s="1"/>
  <c r="D60" i="28" s="1"/>
  <c r="E68" i="27"/>
  <c r="I67"/>
  <c r="J67" s="1"/>
  <c r="D59" i="28" s="1"/>
  <c r="E67" i="27"/>
  <c r="I66"/>
  <c r="J66" s="1"/>
  <c r="D58" i="28" s="1"/>
  <c r="H58" s="1"/>
  <c r="H64" s="1"/>
  <c r="E66" i="27"/>
  <c r="I51"/>
  <c r="J51" s="1"/>
  <c r="D47" i="28" s="1"/>
  <c r="I50" i="27"/>
  <c r="J50" s="1"/>
  <c r="D46" i="28" s="1"/>
  <c r="H46" s="1"/>
  <c r="I49" i="27"/>
  <c r="J49" s="1"/>
  <c r="D44" i="28" s="1"/>
  <c r="H44" s="1"/>
  <c r="I48" i="27"/>
  <c r="J48" s="1"/>
  <c r="D43" i="28" s="1"/>
  <c r="H43" s="1"/>
  <c r="I47" i="27"/>
  <c r="J47" s="1"/>
  <c r="D42" i="28" s="1"/>
  <c r="I46" i="27"/>
  <c r="J46" s="1"/>
  <c r="D41" i="28" s="1"/>
  <c r="H41" s="1"/>
  <c r="H48" s="1"/>
  <c r="I42" i="27"/>
  <c r="J42" s="1"/>
  <c r="D37" i="28" s="1"/>
  <c r="I41" i="27"/>
  <c r="J41" s="1"/>
  <c r="D36" i="28" s="1"/>
  <c r="H36" s="1"/>
  <c r="I40" i="27"/>
  <c r="J40" s="1"/>
  <c r="D34" i="28" s="1"/>
  <c r="H34" s="1"/>
  <c r="I39" i="27"/>
  <c r="J39" s="1"/>
  <c r="D33" i="28" s="1"/>
  <c r="H33" s="1"/>
  <c r="I38" i="27"/>
  <c r="J38" s="1"/>
  <c r="D32" i="28" s="1"/>
  <c r="I37" i="27"/>
  <c r="J37" s="1"/>
  <c r="D31" i="28" s="1"/>
  <c r="H31" s="1"/>
  <c r="H38" s="1"/>
  <c r="G34" i="27"/>
  <c r="F34"/>
  <c r="I33"/>
  <c r="J33" s="1"/>
  <c r="D27" i="28" s="1"/>
  <c r="H27" s="1"/>
  <c r="E33" i="27"/>
  <c r="I32"/>
  <c r="J32" s="1"/>
  <c r="D26" i="28" s="1"/>
  <c r="H26" s="1"/>
  <c r="E32" i="27"/>
  <c r="I31"/>
  <c r="J31" s="1"/>
  <c r="D25" i="28" s="1"/>
  <c r="H25" s="1"/>
  <c r="E31" i="27"/>
  <c r="I30"/>
  <c r="J30" s="1"/>
  <c r="D24" i="28" s="1"/>
  <c r="E30" i="27"/>
  <c r="I29"/>
  <c r="J29" s="1"/>
  <c r="D23" i="28" s="1"/>
  <c r="E29" i="27"/>
  <c r="I28"/>
  <c r="J28" s="1"/>
  <c r="D22" i="28" s="1"/>
  <c r="H22" s="1"/>
  <c r="H28" s="1"/>
  <c r="E28" i="27"/>
  <c r="I23"/>
  <c r="J23" s="1"/>
  <c r="D19" i="28" s="1"/>
  <c r="I22" i="27"/>
  <c r="J22" s="1"/>
  <c r="D18" i="28" s="1"/>
  <c r="H18" s="1"/>
  <c r="I21" i="27"/>
  <c r="J21" s="1"/>
  <c r="D16" i="28" s="1"/>
  <c r="H16" s="1"/>
  <c r="I20" i="27"/>
  <c r="J20" s="1"/>
  <c r="D15" i="28" s="1"/>
  <c r="H15" s="1"/>
  <c r="I19" i="27"/>
  <c r="J19" s="1"/>
  <c r="D14" i="28" s="1"/>
  <c r="J18" i="27"/>
  <c r="D13" i="28" s="1"/>
  <c r="H13" s="1"/>
  <c r="H20" s="1"/>
  <c r="H195" i="26"/>
  <c r="H196"/>
  <c r="H197"/>
  <c r="H198"/>
  <c r="H199"/>
  <c r="H194"/>
  <c r="H186"/>
  <c r="H187"/>
  <c r="H188"/>
  <c r="H189"/>
  <c r="H190"/>
  <c r="H185"/>
  <c r="I199"/>
  <c r="J199" s="1"/>
  <c r="C189" i="28" s="1"/>
  <c r="I198" i="26"/>
  <c r="J198" s="1"/>
  <c r="C188" i="28" s="1"/>
  <c r="I197" i="26"/>
  <c r="J197" s="1"/>
  <c r="C187" i="28" s="1"/>
  <c r="G187" s="1"/>
  <c r="I196" i="26"/>
  <c r="J196" s="1"/>
  <c r="C186" i="28" s="1"/>
  <c r="G186" s="1"/>
  <c r="I195" i="26"/>
  <c r="J195" s="1"/>
  <c r="C185" i="28" s="1"/>
  <c r="I194" i="26"/>
  <c r="J194" s="1"/>
  <c r="C184" i="28" s="1"/>
  <c r="G184" s="1"/>
  <c r="G190" s="1"/>
  <c r="I190" i="26"/>
  <c r="J190" s="1"/>
  <c r="C181" i="28" s="1"/>
  <c r="I189" i="26"/>
  <c r="J189" s="1"/>
  <c r="C180" i="28" s="1"/>
  <c r="G180" s="1"/>
  <c r="I188" i="26"/>
  <c r="J188" s="1"/>
  <c r="C178" i="28" s="1"/>
  <c r="G178" s="1"/>
  <c r="I187" i="26"/>
  <c r="J187" s="1"/>
  <c r="C177" i="28" s="1"/>
  <c r="G177" s="1"/>
  <c r="I186" i="26"/>
  <c r="J186" s="1"/>
  <c r="C176" i="28" s="1"/>
  <c r="I185" i="26"/>
  <c r="J185" s="1"/>
  <c r="C175" i="28" s="1"/>
  <c r="G175" s="1"/>
  <c r="G182" s="1"/>
  <c r="H177" i="26"/>
  <c r="H178"/>
  <c r="H179"/>
  <c r="H180"/>
  <c r="H181"/>
  <c r="H176"/>
  <c r="G182"/>
  <c r="F182"/>
  <c r="I181"/>
  <c r="J181" s="1"/>
  <c r="C171" i="28" s="1"/>
  <c r="G171" s="1"/>
  <c r="E181" i="26"/>
  <c r="I180"/>
  <c r="J180" s="1"/>
  <c r="C170" i="28" s="1"/>
  <c r="G170" s="1"/>
  <c r="E180" i="26"/>
  <c r="I179"/>
  <c r="J179" s="1"/>
  <c r="C169" i="28" s="1"/>
  <c r="G169" s="1"/>
  <c r="E179" i="26"/>
  <c r="I178"/>
  <c r="J178" s="1"/>
  <c r="C168" i="28" s="1"/>
  <c r="E178" i="26"/>
  <c r="I177"/>
  <c r="J177" s="1"/>
  <c r="C167" i="28" s="1"/>
  <c r="E177" i="26"/>
  <c r="I176"/>
  <c r="J176" s="1"/>
  <c r="C166" i="28" s="1"/>
  <c r="G166" s="1"/>
  <c r="G172" s="1"/>
  <c r="E176" i="26"/>
  <c r="H158"/>
  <c r="H159"/>
  <c r="H160"/>
  <c r="H161"/>
  <c r="H162"/>
  <c r="H157"/>
  <c r="I162"/>
  <c r="J162" s="1"/>
  <c r="C155" i="28" s="1"/>
  <c r="I161" i="26"/>
  <c r="J161" s="1"/>
  <c r="C154" i="28" s="1"/>
  <c r="G154" s="1"/>
  <c r="I160" i="26"/>
  <c r="J160" s="1"/>
  <c r="C152" i="28" s="1"/>
  <c r="G152" s="1"/>
  <c r="I159" i="26"/>
  <c r="J159" s="1"/>
  <c r="C151" i="28" s="1"/>
  <c r="G151" s="1"/>
  <c r="I158" i="26"/>
  <c r="J158" s="1"/>
  <c r="C150" i="28" s="1"/>
  <c r="I157" i="26"/>
  <c r="J157" s="1"/>
  <c r="C149" i="28" s="1"/>
  <c r="G149" s="1"/>
  <c r="G156" s="1"/>
  <c r="H149" i="26"/>
  <c r="H150"/>
  <c r="H151"/>
  <c r="H152"/>
  <c r="H153"/>
  <c r="H148"/>
  <c r="H121"/>
  <c r="H122"/>
  <c r="H123"/>
  <c r="H124"/>
  <c r="H125"/>
  <c r="H126"/>
  <c r="H104"/>
  <c r="H105"/>
  <c r="H106"/>
  <c r="H107"/>
  <c r="H108"/>
  <c r="H103"/>
  <c r="G109"/>
  <c r="F109"/>
  <c r="I108"/>
  <c r="J108" s="1"/>
  <c r="C99" i="28" s="1"/>
  <c r="G99" s="1"/>
  <c r="E108" i="26"/>
  <c r="I107"/>
  <c r="J107" s="1"/>
  <c r="C98" i="28" s="1"/>
  <c r="G98" s="1"/>
  <c r="E107" i="26"/>
  <c r="I106"/>
  <c r="J106" s="1"/>
  <c r="C97" i="28" s="1"/>
  <c r="G97" s="1"/>
  <c r="E106" i="26"/>
  <c r="I105"/>
  <c r="J105" s="1"/>
  <c r="C96" i="28" s="1"/>
  <c r="E105" i="26"/>
  <c r="I104"/>
  <c r="J104" s="1"/>
  <c r="C95" i="28" s="1"/>
  <c r="E104" i="26"/>
  <c r="I103"/>
  <c r="J103" s="1"/>
  <c r="C94" i="28" s="1"/>
  <c r="G94" s="1"/>
  <c r="G100" s="1"/>
  <c r="E103" i="26"/>
  <c r="H94"/>
  <c r="H95"/>
  <c r="H96"/>
  <c r="H97"/>
  <c r="H98"/>
  <c r="H93"/>
  <c r="H85"/>
  <c r="H86"/>
  <c r="H87"/>
  <c r="H88"/>
  <c r="H89"/>
  <c r="H84"/>
  <c r="I89"/>
  <c r="J89" s="1"/>
  <c r="C83" i="28" s="1"/>
  <c r="I88" i="26"/>
  <c r="J88" s="1"/>
  <c r="C82" i="28" s="1"/>
  <c r="G82" s="1"/>
  <c r="I87" i="26"/>
  <c r="J87" s="1"/>
  <c r="C80" i="28" s="1"/>
  <c r="G80" s="1"/>
  <c r="I86" i="26"/>
  <c r="J86" s="1"/>
  <c r="C79" i="28" s="1"/>
  <c r="G79" s="1"/>
  <c r="I85" i="26"/>
  <c r="J85" s="1"/>
  <c r="C78" i="28" s="1"/>
  <c r="I84" i="26"/>
  <c r="J84" s="1"/>
  <c r="C77" i="28" s="1"/>
  <c r="G77" s="1"/>
  <c r="G84" s="1"/>
  <c r="H76" i="26"/>
  <c r="H77"/>
  <c r="H78"/>
  <c r="H79"/>
  <c r="H80"/>
  <c r="H75"/>
  <c r="I80"/>
  <c r="J80" s="1"/>
  <c r="C73" i="28" s="1"/>
  <c r="I79" i="26"/>
  <c r="J79" s="1"/>
  <c r="C72" i="28" s="1"/>
  <c r="G72" s="1"/>
  <c r="I78" i="26"/>
  <c r="J78" s="1"/>
  <c r="C70" i="28" s="1"/>
  <c r="G70" s="1"/>
  <c r="I77" i="26"/>
  <c r="J77" s="1"/>
  <c r="C69" i="28" s="1"/>
  <c r="G69" s="1"/>
  <c r="I76" i="26"/>
  <c r="J76" s="1"/>
  <c r="C68" i="28" s="1"/>
  <c r="I75" i="26"/>
  <c r="J75" s="1"/>
  <c r="C67" i="28" s="1"/>
  <c r="G67" s="1"/>
  <c r="G74" s="1"/>
  <c r="H38" i="26"/>
  <c r="H39"/>
  <c r="H40"/>
  <c r="H41"/>
  <c r="H42"/>
  <c r="H37"/>
  <c r="H29"/>
  <c r="H30"/>
  <c r="H31"/>
  <c r="H32"/>
  <c r="H33"/>
  <c r="H28"/>
  <c r="H23"/>
  <c r="H22"/>
  <c r="H21"/>
  <c r="H20"/>
  <c r="H19"/>
  <c r="H18"/>
  <c r="G34"/>
  <c r="F34"/>
  <c r="I33"/>
  <c r="J33" s="1"/>
  <c r="C27" i="28" s="1"/>
  <c r="G27" s="1"/>
  <c r="E33" i="26"/>
  <c r="I32"/>
  <c r="J32" s="1"/>
  <c r="C26" i="28" s="1"/>
  <c r="G26" s="1"/>
  <c r="E32" i="26"/>
  <c r="I31"/>
  <c r="J31" s="1"/>
  <c r="C25" i="28" s="1"/>
  <c r="G25" s="1"/>
  <c r="E31" i="26"/>
  <c r="I30"/>
  <c r="J30" s="1"/>
  <c r="C24" i="28" s="1"/>
  <c r="E30" i="26"/>
  <c r="I29"/>
  <c r="J29" s="1"/>
  <c r="C23" i="28" s="1"/>
  <c r="E29" i="26"/>
  <c r="I28"/>
  <c r="J28" s="1"/>
  <c r="C22" i="28" s="1"/>
  <c r="G22" s="1"/>
  <c r="G28" s="1"/>
  <c r="E28" i="26"/>
  <c r="I153"/>
  <c r="J153" s="1"/>
  <c r="C145" i="28" s="1"/>
  <c r="I152" i="26"/>
  <c r="J152" s="1"/>
  <c r="C144" i="28" s="1"/>
  <c r="G144" s="1"/>
  <c r="I151" i="26"/>
  <c r="J151" s="1"/>
  <c r="C142" i="28" s="1"/>
  <c r="G142" s="1"/>
  <c r="I150" i="26"/>
  <c r="J150" s="1"/>
  <c r="C141" i="28" s="1"/>
  <c r="G141" s="1"/>
  <c r="I149" i="26"/>
  <c r="J149" s="1"/>
  <c r="C140" i="28" s="1"/>
  <c r="I148" i="26"/>
  <c r="J148" s="1"/>
  <c r="C139" i="28" s="1"/>
  <c r="G139" s="1"/>
  <c r="G146" s="1"/>
  <c r="I126" i="26"/>
  <c r="J126" s="1"/>
  <c r="C117" i="28" s="1"/>
  <c r="I125" i="26"/>
  <c r="J125" s="1"/>
  <c r="C116" i="28" s="1"/>
  <c r="I124" i="26"/>
  <c r="J124" s="1"/>
  <c r="C115" i="28" s="1"/>
  <c r="G115" s="1"/>
  <c r="I123" i="26"/>
  <c r="J123" s="1"/>
  <c r="C114" i="28" s="1"/>
  <c r="G114" s="1"/>
  <c r="I122" i="26"/>
  <c r="J122" s="1"/>
  <c r="C113" i="28" s="1"/>
  <c r="I121" i="26"/>
  <c r="J121" s="1"/>
  <c r="C112" i="28" s="1"/>
  <c r="G112" s="1"/>
  <c r="G118" s="1"/>
  <c r="I98" i="26"/>
  <c r="J98" s="1"/>
  <c r="C91" i="28" s="1"/>
  <c r="I97" i="26"/>
  <c r="J97" s="1"/>
  <c r="C90" i="28" s="1"/>
  <c r="I96" i="26"/>
  <c r="J96" s="1"/>
  <c r="C89" i="28" s="1"/>
  <c r="G89" s="1"/>
  <c r="I95" i="26"/>
  <c r="J95" s="1"/>
  <c r="C88" i="28" s="1"/>
  <c r="G88" s="1"/>
  <c r="I94" i="26"/>
  <c r="J94" s="1"/>
  <c r="C87" i="28" s="1"/>
  <c r="I93" i="26"/>
  <c r="J93" s="1"/>
  <c r="C86" i="28" s="1"/>
  <c r="G86" s="1"/>
  <c r="G92" s="1"/>
  <c r="G72" i="26"/>
  <c r="F72"/>
  <c r="E71"/>
  <c r="E70"/>
  <c r="E69"/>
  <c r="E68"/>
  <c r="E67"/>
  <c r="E66"/>
  <c r="I51"/>
  <c r="J51" s="1"/>
  <c r="C47" i="28" s="1"/>
  <c r="I50" i="26"/>
  <c r="J50" s="1"/>
  <c r="C46" i="28" s="1"/>
  <c r="G46" s="1"/>
  <c r="I49" i="26"/>
  <c r="J49" s="1"/>
  <c r="C44" i="28" s="1"/>
  <c r="G44" s="1"/>
  <c r="I48" i="26"/>
  <c r="J48" s="1"/>
  <c r="C43" i="28" s="1"/>
  <c r="G43" s="1"/>
  <c r="I47" i="26"/>
  <c r="J47" s="1"/>
  <c r="C42" i="28" s="1"/>
  <c r="I46" i="26"/>
  <c r="J46" s="1"/>
  <c r="C41" i="28" s="1"/>
  <c r="G41" s="1"/>
  <c r="G48" s="1"/>
  <c r="I42" i="26"/>
  <c r="J42" s="1"/>
  <c r="C37" i="28" s="1"/>
  <c r="I41" i="26"/>
  <c r="J41" s="1"/>
  <c r="C36" i="28" s="1"/>
  <c r="G36" s="1"/>
  <c r="I40" i="26"/>
  <c r="J40" s="1"/>
  <c r="C34" i="28" s="1"/>
  <c r="G34" s="1"/>
  <c r="I39" i="26"/>
  <c r="J39" s="1"/>
  <c r="C33" i="28" s="1"/>
  <c r="G33" s="1"/>
  <c r="I38" i="26"/>
  <c r="J38" s="1"/>
  <c r="C32" i="28" s="1"/>
  <c r="I37" i="26"/>
  <c r="J37" s="1"/>
  <c r="C31" i="28" s="1"/>
  <c r="G31" s="1"/>
  <c r="G38" s="1"/>
  <c r="I23" i="26"/>
  <c r="J23" s="1"/>
  <c r="C19" i="28" s="1"/>
  <c r="I22" i="26"/>
  <c r="J22" s="1"/>
  <c r="C18" i="28" s="1"/>
  <c r="G18" s="1"/>
  <c r="I21" i="26"/>
  <c r="J21" s="1"/>
  <c r="C16" i="28" s="1"/>
  <c r="G16" s="1"/>
  <c r="I20" i="26"/>
  <c r="J20" s="1"/>
  <c r="C15" i="28" s="1"/>
  <c r="G15" s="1"/>
  <c r="I19" i="26"/>
  <c r="J19" s="1"/>
  <c r="C14" i="28" s="1"/>
  <c r="I18" i="26"/>
  <c r="J18" s="1"/>
  <c r="C13" i="28" s="1"/>
  <c r="G13" s="1"/>
  <c r="G20" s="1"/>
  <c r="BX5" i="14" l="1"/>
  <c r="BZ6"/>
  <c r="BZ5" s="1"/>
  <c r="BX7"/>
  <c r="BZ8"/>
  <c r="BZ7" s="1"/>
  <c r="BX15"/>
  <c r="BZ16"/>
  <c r="BZ15" s="1"/>
  <c r="BX19"/>
  <c r="BZ20"/>
  <c r="BZ19" s="1"/>
  <c r="BX25"/>
  <c r="BZ26"/>
  <c r="BZ25" s="1"/>
  <c r="BX29"/>
  <c r="BZ30"/>
  <c r="BZ29" s="1"/>
  <c r="BX35"/>
  <c r="BZ36"/>
  <c r="BZ35" s="1"/>
  <c r="BX41"/>
  <c r="BZ42"/>
  <c r="BZ41" s="1"/>
  <c r="BX46"/>
  <c r="BZ47"/>
  <c r="BZ46" s="1"/>
  <c r="BX50"/>
  <c r="BZ51"/>
  <c r="BZ50" s="1"/>
  <c r="AP55" i="15"/>
  <c r="AP5"/>
  <c r="AJ6"/>
  <c r="AJ5" s="1"/>
  <c r="AH5"/>
  <c r="AG6"/>
  <c r="AG5" s="1"/>
  <c r="AE5"/>
  <c r="BZ6"/>
  <c r="BZ5" s="1"/>
  <c r="BX5"/>
  <c r="AG8"/>
  <c r="AG7" s="1"/>
  <c r="AE7"/>
  <c r="AJ8"/>
  <c r="AJ7" s="1"/>
  <c r="AH7"/>
  <c r="BZ8"/>
  <c r="BZ7" s="1"/>
  <c r="BX7"/>
  <c r="AG16"/>
  <c r="AG15" s="1"/>
  <c r="AE15"/>
  <c r="AJ16"/>
  <c r="AJ15" s="1"/>
  <c r="AH15"/>
  <c r="BZ16"/>
  <c r="BZ15" s="1"/>
  <c r="BX15"/>
  <c r="AG20"/>
  <c r="AG19" s="1"/>
  <c r="AE19"/>
  <c r="AJ20"/>
  <c r="AJ19" s="1"/>
  <c r="AH19"/>
  <c r="BZ20"/>
  <c r="BZ19" s="1"/>
  <c r="BX19"/>
  <c r="AG23"/>
  <c r="AG22" s="1"/>
  <c r="AE22"/>
  <c r="AJ23"/>
  <c r="AJ22" s="1"/>
  <c r="AH22"/>
  <c r="AG26"/>
  <c r="AG25" s="1"/>
  <c r="AE25"/>
  <c r="AJ26"/>
  <c r="AJ25" s="1"/>
  <c r="AH25"/>
  <c r="BZ26"/>
  <c r="BZ25" s="1"/>
  <c r="BX25"/>
  <c r="AG30"/>
  <c r="AG29" s="1"/>
  <c r="AE29"/>
  <c r="AJ30"/>
  <c r="AJ29" s="1"/>
  <c r="AH29"/>
  <c r="BZ30"/>
  <c r="BZ29" s="1"/>
  <c r="BX29"/>
  <c r="AG36"/>
  <c r="AG35" s="1"/>
  <c r="AE35"/>
  <c r="AJ36"/>
  <c r="AJ35" s="1"/>
  <c r="AH35"/>
  <c r="BZ36"/>
  <c r="BZ35" s="1"/>
  <c r="BX35"/>
  <c r="AG42"/>
  <c r="AG41" s="1"/>
  <c r="AE41"/>
  <c r="AJ42"/>
  <c r="AJ41" s="1"/>
  <c r="AH41"/>
  <c r="BZ42"/>
  <c r="BZ41" s="1"/>
  <c r="BX41"/>
  <c r="AG47"/>
  <c r="AG46" s="1"/>
  <c r="AE46"/>
  <c r="AJ47"/>
  <c r="AJ46" s="1"/>
  <c r="AH46"/>
  <c r="BZ47"/>
  <c r="BZ46" s="1"/>
  <c r="BX46"/>
  <c r="BZ51"/>
  <c r="BZ50" s="1"/>
  <c r="BX50"/>
  <c r="AP25"/>
  <c r="AP19"/>
  <c r="AP29"/>
  <c r="AP50"/>
  <c r="AK5" i="14"/>
  <c r="AM5"/>
  <c r="AH7"/>
  <c r="AJ8"/>
  <c r="AJ7" s="1"/>
  <c r="AH12"/>
  <c r="AJ13"/>
  <c r="AH15"/>
  <c r="AJ16"/>
  <c r="AJ15" s="1"/>
  <c r="AH19"/>
  <c r="AJ20"/>
  <c r="AJ19" s="1"/>
  <c r="AH22"/>
  <c r="AJ23"/>
  <c r="AH5"/>
  <c r="AJ6"/>
  <c r="AJ5" s="1"/>
  <c r="AE7"/>
  <c r="AG8"/>
  <c r="AG7" s="1"/>
  <c r="AE12"/>
  <c r="AG13"/>
  <c r="AE15"/>
  <c r="AG16"/>
  <c r="AG15" s="1"/>
  <c r="AE19"/>
  <c r="AG20"/>
  <c r="AG19" s="1"/>
  <c r="AE22"/>
  <c r="AG23"/>
  <c r="AE5"/>
  <c r="AG6"/>
  <c r="AG5" s="1"/>
  <c r="G7"/>
  <c r="I7"/>
  <c r="G12"/>
  <c r="I12"/>
  <c r="G15"/>
  <c r="G19"/>
  <c r="I19"/>
  <c r="G22"/>
  <c r="I22"/>
  <c r="G29"/>
  <c r="I29"/>
  <c r="G5"/>
  <c r="I6"/>
  <c r="I5" s="1"/>
  <c r="I55" s="1"/>
  <c r="D7"/>
  <c r="F7"/>
  <c r="D12"/>
  <c r="D15"/>
  <c r="F15"/>
  <c r="D19"/>
  <c r="F19"/>
  <c r="D22"/>
  <c r="D29"/>
  <c r="AN5"/>
  <c r="AP6"/>
  <c r="AQ5"/>
  <c r="AS5"/>
  <c r="AT5"/>
  <c r="AV5"/>
  <c r="AW5"/>
  <c r="AY5"/>
  <c r="AZ5"/>
  <c r="BB5"/>
  <c r="BF5"/>
  <c r="BH5"/>
  <c r="AK7"/>
  <c r="AM7"/>
  <c r="AN7"/>
  <c r="AP8"/>
  <c r="AP7" s="1"/>
  <c r="AQ7"/>
  <c r="AS7"/>
  <c r="AT7"/>
  <c r="AV7"/>
  <c r="AW7"/>
  <c r="AY7"/>
  <c r="AZ7"/>
  <c r="BB7"/>
  <c r="BF7"/>
  <c r="BH7"/>
  <c r="AK12"/>
  <c r="AN12"/>
  <c r="AQ12"/>
  <c r="AT12"/>
  <c r="AW12"/>
  <c r="AZ12"/>
  <c r="AK15"/>
  <c r="AM15"/>
  <c r="AN15"/>
  <c r="AP16"/>
  <c r="AQ15"/>
  <c r="AS15"/>
  <c r="AT15"/>
  <c r="AV15"/>
  <c r="AW15"/>
  <c r="AY16"/>
  <c r="AY15" s="1"/>
  <c r="AZ15"/>
  <c r="BB15"/>
  <c r="BF15"/>
  <c r="BH15"/>
  <c r="AK19"/>
  <c r="AM19"/>
  <c r="AN19"/>
  <c r="AP20"/>
  <c r="AP19" s="1"/>
  <c r="AQ19"/>
  <c r="AS19"/>
  <c r="AT19"/>
  <c r="AV19"/>
  <c r="AW19"/>
  <c r="AY19"/>
  <c r="AZ19"/>
  <c r="BB19"/>
  <c r="BF19"/>
  <c r="BH19"/>
  <c r="AJ12"/>
  <c r="AJ22"/>
  <c r="AG12"/>
  <c r="AG22"/>
  <c r="F12"/>
  <c r="F22"/>
  <c r="AS12"/>
  <c r="AV12"/>
  <c r="AY12"/>
  <c r="BB12"/>
  <c r="AK5" i="15"/>
  <c r="AN5"/>
  <c r="AQ5"/>
  <c r="AT5"/>
  <c r="AW5"/>
  <c r="AZ5"/>
  <c r="BF5"/>
  <c r="D5"/>
  <c r="G5"/>
  <c r="D15"/>
  <c r="AK15"/>
  <c r="AN15"/>
  <c r="AQ15"/>
  <c r="AT15"/>
  <c r="AW15"/>
  <c r="AZ15"/>
  <c r="BF15"/>
  <c r="G15"/>
  <c r="G19"/>
  <c r="G22"/>
  <c r="G29"/>
  <c r="G4" i="12"/>
  <c r="K5"/>
  <c r="K4" s="1"/>
  <c r="J4"/>
  <c r="G2"/>
  <c r="G52" s="1"/>
  <c r="K3"/>
  <c r="K2" s="1"/>
  <c r="K52" s="1"/>
  <c r="J3"/>
  <c r="J2"/>
  <c r="J52" s="1"/>
  <c r="G46" i="14"/>
  <c r="D46"/>
  <c r="F46"/>
  <c r="F29"/>
  <c r="D7" i="15"/>
  <c r="AK7"/>
  <c r="AN7"/>
  <c r="AQ7"/>
  <c r="AT7"/>
  <c r="AZ7"/>
  <c r="BF7"/>
  <c r="F50" i="14"/>
  <c r="AH50"/>
  <c r="AJ54"/>
  <c r="AJ50" s="1"/>
  <c r="AE50"/>
  <c r="AG54"/>
  <c r="AG50" s="1"/>
  <c r="AK50"/>
  <c r="AM50"/>
  <c r="AN50"/>
  <c r="AP54"/>
  <c r="AP50" s="1"/>
  <c r="AQ50"/>
  <c r="AS50"/>
  <c r="AT50"/>
  <c r="AV50"/>
  <c r="AW50"/>
  <c r="AY50"/>
  <c r="AZ50"/>
  <c r="BB50"/>
  <c r="BF50"/>
  <c r="BH50"/>
  <c r="D50" i="15"/>
  <c r="AK50"/>
  <c r="AN50"/>
  <c r="AQ50"/>
  <c r="AT50"/>
  <c r="AW50"/>
  <c r="AZ50"/>
  <c r="BF50"/>
  <c r="AH46" i="14"/>
  <c r="AJ48"/>
  <c r="AJ46" s="1"/>
  <c r="AE46"/>
  <c r="AG48"/>
  <c r="AG46" s="1"/>
  <c r="AK46"/>
  <c r="AM46"/>
  <c r="AN46"/>
  <c r="AP48"/>
  <c r="AQ46"/>
  <c r="AS46"/>
  <c r="AT46"/>
  <c r="AV46"/>
  <c r="AW46"/>
  <c r="AY46"/>
  <c r="AZ46"/>
  <c r="BB46"/>
  <c r="BF46"/>
  <c r="BH46"/>
  <c r="AH41"/>
  <c r="AJ42"/>
  <c r="AJ41" s="1"/>
  <c r="AE41"/>
  <c r="AG42"/>
  <c r="AG41" s="1"/>
  <c r="G41"/>
  <c r="D41"/>
  <c r="F41"/>
  <c r="AK41"/>
  <c r="AM41"/>
  <c r="AN41"/>
  <c r="AP42"/>
  <c r="AP41" s="1"/>
  <c r="AQ41"/>
  <c r="AS41"/>
  <c r="AT41"/>
  <c r="AV41"/>
  <c r="AW41"/>
  <c r="AY41"/>
  <c r="AZ41"/>
  <c r="BB41"/>
  <c r="BF41"/>
  <c r="BH41"/>
  <c r="AH35"/>
  <c r="AJ36"/>
  <c r="AJ35" s="1"/>
  <c r="AE35"/>
  <c r="AG36"/>
  <c r="AG35" s="1"/>
  <c r="G35"/>
  <c r="D35"/>
  <c r="F35"/>
  <c r="AK35"/>
  <c r="AM35"/>
  <c r="AN35"/>
  <c r="AQ35"/>
  <c r="AS35"/>
  <c r="AT35"/>
  <c r="AV35"/>
  <c r="AW35"/>
  <c r="AY35"/>
  <c r="AZ35"/>
  <c r="BB35"/>
  <c r="BF35"/>
  <c r="BH35"/>
  <c r="AH29"/>
  <c r="AJ33"/>
  <c r="AJ29" s="1"/>
  <c r="AE29"/>
  <c r="AG33"/>
  <c r="AG29" s="1"/>
  <c r="AK29"/>
  <c r="AM29"/>
  <c r="AN29"/>
  <c r="AP33"/>
  <c r="AP29" s="1"/>
  <c r="AQ29"/>
  <c r="AS29"/>
  <c r="AT29"/>
  <c r="AV29"/>
  <c r="AW29"/>
  <c r="AY29"/>
  <c r="AZ29"/>
  <c r="BF29"/>
  <c r="BH29"/>
  <c r="AH25"/>
  <c r="AJ26"/>
  <c r="AJ25" s="1"/>
  <c r="AE25"/>
  <c r="AG26"/>
  <c r="AG25" s="1"/>
  <c r="G25"/>
  <c r="D25"/>
  <c r="AK25"/>
  <c r="AM25"/>
  <c r="AN25"/>
  <c r="AP26"/>
  <c r="AP25" s="1"/>
  <c r="AQ25"/>
  <c r="AS25"/>
  <c r="AT25"/>
  <c r="AV25"/>
  <c r="AW25"/>
  <c r="AY25"/>
  <c r="AZ25"/>
  <c r="BB25"/>
  <c r="BF25"/>
  <c r="BH25"/>
  <c r="AJ55"/>
  <c r="AG55"/>
  <c r="F55"/>
  <c r="AK22"/>
  <c r="AM22"/>
  <c r="AN22"/>
  <c r="AQ22"/>
  <c r="AS22"/>
  <c r="AT22"/>
  <c r="AV22"/>
  <c r="AW22"/>
  <c r="AY22"/>
  <c r="AZ22"/>
  <c r="BB22"/>
  <c r="BF22"/>
  <c r="BH22"/>
  <c r="AK55"/>
  <c r="AN55"/>
  <c r="AQ55"/>
  <c r="AT55"/>
  <c r="AW55"/>
  <c r="AZ55"/>
  <c r="AM55"/>
  <c r="AS55"/>
  <c r="AV55"/>
  <c r="AY55"/>
  <c r="BB55"/>
  <c r="BF12"/>
  <c r="BH12"/>
  <c r="BH55" s="1"/>
  <c r="BF55"/>
  <c r="D46" i="15"/>
  <c r="AK46"/>
  <c r="AN46"/>
  <c r="AQ46"/>
  <c r="AT46"/>
  <c r="AW46"/>
  <c r="AZ46"/>
  <c r="BF46"/>
  <c r="D41"/>
  <c r="AK41"/>
  <c r="AN41"/>
  <c r="AQ41"/>
  <c r="AT41"/>
  <c r="AW41"/>
  <c r="AZ41"/>
  <c r="BF41"/>
  <c r="D35"/>
  <c r="AK35"/>
  <c r="AN35"/>
  <c r="AQ35"/>
  <c r="AT35"/>
  <c r="AW35"/>
  <c r="AZ35"/>
  <c r="BF35"/>
  <c r="D29"/>
  <c r="AK29"/>
  <c r="AN29"/>
  <c r="AQ29"/>
  <c r="AT29"/>
  <c r="AW29"/>
  <c r="AZ29"/>
  <c r="BF29"/>
  <c r="D25"/>
  <c r="AK25"/>
  <c r="AN25"/>
  <c r="AQ25"/>
  <c r="AT25"/>
  <c r="AW25"/>
  <c r="AZ25"/>
  <c r="BF25"/>
  <c r="D22"/>
  <c r="AK22"/>
  <c r="AN22"/>
  <c r="AQ22"/>
  <c r="AT22"/>
  <c r="AW22"/>
  <c r="AZ22"/>
  <c r="BF22"/>
  <c r="D19"/>
  <c r="AK19"/>
  <c r="AN19"/>
  <c r="AQ19"/>
  <c r="AT19"/>
  <c r="AW19"/>
  <c r="AZ19"/>
  <c r="BF19"/>
  <c r="K15" i="29"/>
  <c r="J20"/>
  <c r="O6"/>
  <c r="D12" i="28"/>
  <c r="D17"/>
  <c r="D30"/>
  <c r="D35"/>
  <c r="D40"/>
  <c r="D45"/>
  <c r="D66"/>
  <c r="D71"/>
  <c r="D76"/>
  <c r="D81"/>
  <c r="D138"/>
  <c r="D143"/>
  <c r="D148"/>
  <c r="D153"/>
  <c r="D174"/>
  <c r="D179"/>
  <c r="C12"/>
  <c r="C17"/>
  <c r="C30"/>
  <c r="C35"/>
  <c r="C40"/>
  <c r="C45"/>
  <c r="C66"/>
  <c r="C71"/>
  <c r="C76"/>
  <c r="C81"/>
  <c r="C138"/>
  <c r="C143"/>
  <c r="C148"/>
  <c r="C153"/>
  <c r="C174"/>
  <c r="C179"/>
  <c r="G16" i="29"/>
  <c r="K16" s="1"/>
  <c r="AH55" i="14"/>
  <c r="AE55"/>
  <c r="G55"/>
  <c r="D55"/>
  <c r="O4" i="29"/>
  <c r="L3"/>
  <c r="N3"/>
  <c r="G4"/>
  <c r="N4"/>
  <c r="M5"/>
  <c r="N5"/>
  <c r="O5"/>
  <c r="M6"/>
  <c r="M7"/>
  <c r="N7"/>
  <c r="O7"/>
  <c r="M8"/>
  <c r="N8"/>
  <c r="O8"/>
  <c r="M9"/>
  <c r="N9"/>
  <c r="O9"/>
  <c r="H10"/>
  <c r="AP5" i="14" l="1"/>
  <c r="AP55"/>
  <c r="BZ55"/>
  <c r="BX55"/>
  <c r="BZ55" i="15"/>
  <c r="K55" i="12"/>
  <c r="L10" i="29"/>
  <c r="G14"/>
  <c r="K14" s="1"/>
  <c r="K20" s="1"/>
  <c r="M4"/>
  <c r="O3"/>
  <c r="O10" s="1"/>
  <c r="G13"/>
  <c r="M3"/>
  <c r="M10" s="1"/>
  <c r="N10"/>
  <c r="P72" i="23" l="1"/>
  <c r="O72"/>
  <c r="F57"/>
  <c r="F56"/>
  <c r="L55"/>
  <c r="K55"/>
  <c r="L50"/>
  <c r="K50"/>
  <c r="P80"/>
  <c r="P79"/>
  <c r="P78"/>
  <c r="O80"/>
  <c r="O79"/>
  <c r="O78"/>
  <c r="M28"/>
  <c r="L28"/>
  <c r="G31"/>
  <c r="F31"/>
  <c r="G30"/>
  <c r="F30"/>
  <c r="M13"/>
  <c r="L13"/>
  <c r="G14"/>
  <c r="F11"/>
  <c r="G11"/>
  <c r="G10"/>
  <c r="F10"/>
  <c r="F18"/>
  <c r="M10"/>
  <c r="M9"/>
  <c r="L8"/>
  <c r="M8"/>
  <c r="G42"/>
  <c r="F42"/>
  <c r="H113" i="26" l="1"/>
  <c r="I113" s="1"/>
  <c r="J113" s="1"/>
  <c r="C104" i="28" s="1"/>
  <c r="H114" i="26"/>
  <c r="I114" s="1"/>
  <c r="J114" s="1"/>
  <c r="C105" i="28" s="1"/>
  <c r="G105" s="1"/>
  <c r="H115" i="26"/>
  <c r="I115" s="1"/>
  <c r="J115" s="1"/>
  <c r="C106" i="28" s="1"/>
  <c r="G106" s="1"/>
  <c r="H116" i="26"/>
  <c r="I116" s="1"/>
  <c r="J116" s="1"/>
  <c r="H117"/>
  <c r="I117" s="1"/>
  <c r="J117" s="1"/>
  <c r="C109" i="28" s="1"/>
  <c r="H112" i="26"/>
  <c r="I112" s="1"/>
  <c r="J112" s="1"/>
  <c r="H113" i="27"/>
  <c r="I113" s="1"/>
  <c r="J113" s="1"/>
  <c r="D104" i="28" s="1"/>
  <c r="H114" i="27"/>
  <c r="I114" s="1"/>
  <c r="J114" s="1"/>
  <c r="D105" i="28" s="1"/>
  <c r="H105" s="1"/>
  <c r="H115" i="27"/>
  <c r="I115" s="1"/>
  <c r="J115" s="1"/>
  <c r="D106" i="28" s="1"/>
  <c r="H106" s="1"/>
  <c r="H116" i="27"/>
  <c r="I116" s="1"/>
  <c r="J116" s="1"/>
  <c r="H117"/>
  <c r="I117" s="1"/>
  <c r="J117" s="1"/>
  <c r="D109" i="28" s="1"/>
  <c r="H112" i="27"/>
  <c r="I112" s="1"/>
  <c r="J112" s="1"/>
  <c r="H130" i="26"/>
  <c r="I130" s="1"/>
  <c r="J130" s="1"/>
  <c r="H131"/>
  <c r="I131" s="1"/>
  <c r="J131" s="1"/>
  <c r="C122" i="28" s="1"/>
  <c r="H132" i="26"/>
  <c r="I132" s="1"/>
  <c r="J132" s="1"/>
  <c r="C123" i="28" s="1"/>
  <c r="G123" s="1"/>
  <c r="H133" i="26"/>
  <c r="I133" s="1"/>
  <c r="J133" s="1"/>
  <c r="C124" i="28" s="1"/>
  <c r="G124" s="1"/>
  <c r="H134" i="26"/>
  <c r="I134" s="1"/>
  <c r="J134" s="1"/>
  <c r="H135"/>
  <c r="I135" s="1"/>
  <c r="J135" s="1"/>
  <c r="C127" i="28" s="1"/>
  <c r="AS53" i="25"/>
  <c r="R52"/>
  <c r="R51"/>
  <c r="R49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R47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R41"/>
  <c r="R40"/>
  <c r="AR39"/>
  <c r="AR53" s="1"/>
  <c r="AQ39"/>
  <c r="AQ53" s="1"/>
  <c r="AP39"/>
  <c r="AP53" s="1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R38"/>
  <c r="R36"/>
  <c r="R35"/>
  <c r="R34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R31"/>
  <c r="R30"/>
  <c r="R28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R26"/>
  <c r="R24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R21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R19"/>
  <c r="R18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R16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R11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R9"/>
  <c r="R7"/>
  <c r="AO5"/>
  <c r="AO53" s="1"/>
  <c r="AN5"/>
  <c r="AN53" s="1"/>
  <c r="AM5"/>
  <c r="AM53" s="1"/>
  <c r="AL5"/>
  <c r="AL53" s="1"/>
  <c r="AK5"/>
  <c r="AK53" s="1"/>
  <c r="AJ5"/>
  <c r="AJ53" s="1"/>
  <c r="AI5"/>
  <c r="AI53" s="1"/>
  <c r="AH5"/>
  <c r="AH53" s="1"/>
  <c r="AG5"/>
  <c r="AG53" s="1"/>
  <c r="AF5"/>
  <c r="AF53" s="1"/>
  <c r="AE5"/>
  <c r="AE53" s="1"/>
  <c r="AD5"/>
  <c r="AD53" s="1"/>
  <c r="AC5"/>
  <c r="AC53" s="1"/>
  <c r="AB5"/>
  <c r="AB53" s="1"/>
  <c r="AA5"/>
  <c r="AA53" s="1"/>
  <c r="Z5"/>
  <c r="Z53" s="1"/>
  <c r="Y5"/>
  <c r="Y53" s="1"/>
  <c r="X5"/>
  <c r="X53" s="1"/>
  <c r="W5"/>
  <c r="V5"/>
  <c r="V53" s="1"/>
  <c r="U5"/>
  <c r="U53" s="1"/>
  <c r="T5"/>
  <c r="T53" s="1"/>
  <c r="S5"/>
  <c r="S53" s="1"/>
  <c r="R5"/>
  <c r="R53" s="1"/>
  <c r="Q5"/>
  <c r="Q53" s="1"/>
  <c r="P5"/>
  <c r="P53" s="1"/>
  <c r="O5"/>
  <c r="O53" s="1"/>
  <c r="N5"/>
  <c r="N53" s="1"/>
  <c r="M5"/>
  <c r="M53" s="1"/>
  <c r="L5"/>
  <c r="L53" s="1"/>
  <c r="K5"/>
  <c r="K53" s="1"/>
  <c r="J5"/>
  <c r="J53" s="1"/>
  <c r="I5"/>
  <c r="I53" s="1"/>
  <c r="H5"/>
  <c r="H53" s="1"/>
  <c r="G5"/>
  <c r="G53" s="1"/>
  <c r="F5"/>
  <c r="F53" s="1"/>
  <c r="E5"/>
  <c r="E53" s="1"/>
  <c r="D5"/>
  <c r="D53" s="1"/>
  <c r="C5"/>
  <c r="C53" s="1"/>
  <c r="W4"/>
  <c r="W53" s="1"/>
  <c r="AO3"/>
  <c r="AN3"/>
  <c r="AM3"/>
  <c r="AL3"/>
  <c r="AK3"/>
  <c r="AJ3"/>
  <c r="AI3"/>
  <c r="AH3"/>
  <c r="AG3"/>
  <c r="AF3"/>
  <c r="AE3"/>
  <c r="AD3"/>
  <c r="AC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G81" i="23"/>
  <c r="M79"/>
  <c r="F81"/>
  <c r="L79"/>
  <c r="M78"/>
  <c r="M80" s="1"/>
  <c r="G80" s="1"/>
  <c r="L78"/>
  <c r="L80" s="1"/>
  <c r="F80" s="1"/>
  <c r="J69"/>
  <c r="I69"/>
  <c r="G74"/>
  <c r="M72"/>
  <c r="G72"/>
  <c r="F74"/>
  <c r="L72"/>
  <c r="F72"/>
  <c r="M71"/>
  <c r="L71"/>
  <c r="I63"/>
  <c r="G65"/>
  <c r="G66"/>
  <c r="F65"/>
  <c r="F66"/>
  <c r="M64"/>
  <c r="L64"/>
  <c r="E58"/>
  <c r="E86" s="1"/>
  <c r="E57"/>
  <c r="E84" s="1"/>
  <c r="E56"/>
  <c r="E83" s="1"/>
  <c r="H56"/>
  <c r="G57"/>
  <c r="G56"/>
  <c r="M46"/>
  <c r="L46"/>
  <c r="G44"/>
  <c r="F44"/>
  <c r="L45" s="1"/>
  <c r="G47"/>
  <c r="F47"/>
  <c r="M44"/>
  <c r="L44"/>
  <c r="L47" s="1"/>
  <c r="F46" s="1"/>
  <c r="I34"/>
  <c r="G39"/>
  <c r="M37"/>
  <c r="M38"/>
  <c r="M36"/>
  <c r="F39"/>
  <c r="L37"/>
  <c r="L38"/>
  <c r="L36"/>
  <c r="L39" s="1"/>
  <c r="F38" s="1"/>
  <c r="G26"/>
  <c r="M24"/>
  <c r="G24"/>
  <c r="M23"/>
  <c r="F26"/>
  <c r="F23"/>
  <c r="F24"/>
  <c r="L23"/>
  <c r="G17"/>
  <c r="G18"/>
  <c r="G19"/>
  <c r="F19"/>
  <c r="L25" l="1"/>
  <c r="H57" i="26"/>
  <c r="I57" s="1"/>
  <c r="J57" s="1"/>
  <c r="C51" i="28" s="1"/>
  <c r="H58" i="26"/>
  <c r="I58" s="1"/>
  <c r="J58" s="1"/>
  <c r="C52" i="28" s="1"/>
  <c r="G52" s="1"/>
  <c r="H59" i="26"/>
  <c r="I59" s="1"/>
  <c r="J59" s="1"/>
  <c r="C53" i="28" s="1"/>
  <c r="G53" s="1"/>
  <c r="H60" i="26"/>
  <c r="I60" s="1"/>
  <c r="J60" s="1"/>
  <c r="C54" i="28" s="1"/>
  <c r="H61" i="26"/>
  <c r="I61" s="1"/>
  <c r="J61" s="1"/>
  <c r="C55" i="28" s="1"/>
  <c r="H56" i="26"/>
  <c r="I56" s="1"/>
  <c r="J56" s="1"/>
  <c r="C50" i="28" s="1"/>
  <c r="G50" s="1"/>
  <c r="G56" s="1"/>
  <c r="L24" i="23"/>
  <c r="H67" i="26"/>
  <c r="I67" s="1"/>
  <c r="J67" s="1"/>
  <c r="C59" i="28" s="1"/>
  <c r="H68" i="26"/>
  <c r="I68" s="1"/>
  <c r="J68" s="1"/>
  <c r="C60" i="28" s="1"/>
  <c r="H69" i="26"/>
  <c r="I69" s="1"/>
  <c r="J69" s="1"/>
  <c r="C61" i="28" s="1"/>
  <c r="G61" s="1"/>
  <c r="H70" i="26"/>
  <c r="I70" s="1"/>
  <c r="J70" s="1"/>
  <c r="C62" i="28" s="1"/>
  <c r="G62" s="1"/>
  <c r="H71" i="26"/>
  <c r="I71" s="1"/>
  <c r="J71" s="1"/>
  <c r="C63" i="28" s="1"/>
  <c r="G63" s="1"/>
  <c r="H66" i="26"/>
  <c r="I66" s="1"/>
  <c r="J66" s="1"/>
  <c r="C58" i="28" s="1"/>
  <c r="G58" s="1"/>
  <c r="G64" s="1"/>
  <c r="H57" i="27"/>
  <c r="I57" s="1"/>
  <c r="J57" s="1"/>
  <c r="D51" i="28" s="1"/>
  <c r="H58" i="27"/>
  <c r="I58" s="1"/>
  <c r="J58" s="1"/>
  <c r="D52" i="28" s="1"/>
  <c r="H52" s="1"/>
  <c r="H59" i="27"/>
  <c r="I59" s="1"/>
  <c r="J59" s="1"/>
  <c r="D53" i="28" s="1"/>
  <c r="H53" s="1"/>
  <c r="H60" i="27"/>
  <c r="I60" s="1"/>
  <c r="J60" s="1"/>
  <c r="D54" i="28" s="1"/>
  <c r="H61" i="27"/>
  <c r="I61" s="1"/>
  <c r="J61" s="1"/>
  <c r="D55" i="28" s="1"/>
  <c r="H56" i="27"/>
  <c r="I56" s="1"/>
  <c r="J56" s="1"/>
  <c r="D50" i="28" s="1"/>
  <c r="H50" s="1"/>
  <c r="H56" s="1"/>
  <c r="M45" i="23"/>
  <c r="H131" i="27"/>
  <c r="I131" s="1"/>
  <c r="J131" s="1"/>
  <c r="D122" i="28" s="1"/>
  <c r="H132" i="27"/>
  <c r="I132" s="1"/>
  <c r="J132" s="1"/>
  <c r="D123" i="28" s="1"/>
  <c r="H123" s="1"/>
  <c r="H133" i="27"/>
  <c r="I133" s="1"/>
  <c r="J133" s="1"/>
  <c r="D124" i="28" s="1"/>
  <c r="H124" s="1"/>
  <c r="H134" i="27"/>
  <c r="I134" s="1"/>
  <c r="J134" s="1"/>
  <c r="H135"/>
  <c r="I135" s="1"/>
  <c r="J135" s="1"/>
  <c r="D127" i="28" s="1"/>
  <c r="H130" i="27"/>
  <c r="I130" s="1"/>
  <c r="J130" s="1"/>
  <c r="L73" i="23"/>
  <c r="H167" i="26"/>
  <c r="I167" s="1"/>
  <c r="J167" s="1"/>
  <c r="C159" i="28" s="1"/>
  <c r="H168" i="26"/>
  <c r="I168" s="1"/>
  <c r="J168" s="1"/>
  <c r="C160" i="28" s="1"/>
  <c r="G160" s="1"/>
  <c r="H169" i="26"/>
  <c r="I169" s="1"/>
  <c r="J169" s="1"/>
  <c r="C161" i="28" s="1"/>
  <c r="G161" s="1"/>
  <c r="H170" i="26"/>
  <c r="I170" s="1"/>
  <c r="J170" s="1"/>
  <c r="C162" i="28" s="1"/>
  <c r="H171" i="26"/>
  <c r="I171" s="1"/>
  <c r="J171" s="1"/>
  <c r="C163" i="28" s="1"/>
  <c r="H166" i="26"/>
  <c r="I166" s="1"/>
  <c r="J166" s="1"/>
  <c r="C158" i="28" s="1"/>
  <c r="G158" s="1"/>
  <c r="G164" s="1"/>
  <c r="M73" i="23"/>
  <c r="H167" i="27"/>
  <c r="I167" s="1"/>
  <c r="J167" s="1"/>
  <c r="D159" i="28" s="1"/>
  <c r="H168" i="27"/>
  <c r="I168" s="1"/>
  <c r="J168" s="1"/>
  <c r="D160" i="28" s="1"/>
  <c r="H160" s="1"/>
  <c r="H169" i="27"/>
  <c r="I169" s="1"/>
  <c r="J169" s="1"/>
  <c r="D161" i="28" s="1"/>
  <c r="H161" s="1"/>
  <c r="H170" i="27"/>
  <c r="I170" s="1"/>
  <c r="J170" s="1"/>
  <c r="D162" i="28" s="1"/>
  <c r="H171" i="27"/>
  <c r="I171" s="1"/>
  <c r="J171" s="1"/>
  <c r="D163" i="28" s="1"/>
  <c r="H166" i="27"/>
  <c r="I166" s="1"/>
  <c r="J166" s="1"/>
  <c r="D158" i="28" s="1"/>
  <c r="H158" s="1"/>
  <c r="H164" s="1"/>
  <c r="C126"/>
  <c r="G126" s="1"/>
  <c r="C125"/>
  <c r="C121"/>
  <c r="G121" s="1"/>
  <c r="G128" s="1"/>
  <c r="C120"/>
  <c r="D103"/>
  <c r="H103" s="1"/>
  <c r="D102"/>
  <c r="D108"/>
  <c r="H108" s="1"/>
  <c r="D107"/>
  <c r="C103"/>
  <c r="G103" s="1"/>
  <c r="C102"/>
  <c r="C108"/>
  <c r="G108" s="1"/>
  <c r="C107"/>
  <c r="G86" i="23"/>
  <c r="F86"/>
  <c r="L74"/>
  <c r="F73" s="1"/>
  <c r="M74"/>
  <c r="G73" s="1"/>
  <c r="G60"/>
  <c r="G84"/>
  <c r="G88"/>
  <c r="F60"/>
  <c r="F84"/>
  <c r="F88"/>
  <c r="M57"/>
  <c r="G83"/>
  <c r="L57"/>
  <c r="F83"/>
  <c r="L26"/>
  <c r="F25" s="1"/>
  <c r="M39"/>
  <c r="G38" s="1"/>
  <c r="M47"/>
  <c r="G46" s="1"/>
  <c r="M58"/>
  <c r="M25"/>
  <c r="M26" s="1"/>
  <c r="G25" s="1"/>
  <c r="L58"/>
  <c r="L59"/>
  <c r="F59" s="1"/>
  <c r="M59"/>
  <c r="G59" s="1"/>
  <c r="I56"/>
  <c r="J56"/>
  <c r="F38" i="24"/>
  <c r="E38"/>
  <c r="D38"/>
  <c r="D121" i="28" l="1"/>
  <c r="H121" s="1"/>
  <c r="D120"/>
  <c r="D126"/>
  <c r="H126" s="1"/>
  <c r="D125"/>
  <c r="G110"/>
  <c r="H110"/>
  <c r="D196"/>
  <c r="C196"/>
  <c r="C198" s="1"/>
  <c r="G49" i="8"/>
  <c r="G45"/>
  <c r="G39"/>
  <c r="G33"/>
  <c r="G27"/>
  <c r="G23"/>
  <c r="G20"/>
  <c r="G17"/>
  <c r="G13"/>
  <c r="G5"/>
  <c r="G54"/>
  <c r="D27"/>
  <c r="D54"/>
  <c r="C54"/>
  <c r="C27"/>
  <c r="E22" i="7"/>
  <c r="I22"/>
  <c r="H22"/>
  <c r="G22"/>
  <c r="F22"/>
  <c r="D22"/>
  <c r="C22"/>
  <c r="I56"/>
  <c r="H54" i="8"/>
  <c r="D20"/>
  <c r="E20"/>
  <c r="F20"/>
  <c r="H20"/>
  <c r="C20"/>
  <c r="D49"/>
  <c r="E49"/>
  <c r="F49"/>
  <c r="H49"/>
  <c r="C49"/>
  <c r="D45"/>
  <c r="E45"/>
  <c r="F45"/>
  <c r="H45"/>
  <c r="C45"/>
  <c r="D39"/>
  <c r="E39"/>
  <c r="E54" s="1"/>
  <c r="F39"/>
  <c r="F54" s="1"/>
  <c r="H39"/>
  <c r="C39"/>
  <c r="D33"/>
  <c r="E33"/>
  <c r="F33"/>
  <c r="H33"/>
  <c r="C33"/>
  <c r="E27"/>
  <c r="F27"/>
  <c r="H27"/>
  <c r="D23"/>
  <c r="E23"/>
  <c r="F23"/>
  <c r="H23"/>
  <c r="C23"/>
  <c r="D17"/>
  <c r="E17"/>
  <c r="F17"/>
  <c r="H17"/>
  <c r="C17"/>
  <c r="D13"/>
  <c r="E13"/>
  <c r="F13"/>
  <c r="H13"/>
  <c r="C13"/>
  <c r="D5"/>
  <c r="E5"/>
  <c r="F5"/>
  <c r="H5"/>
  <c r="C5"/>
  <c r="D3"/>
  <c r="E3"/>
  <c r="F3"/>
  <c r="G3"/>
  <c r="H3"/>
  <c r="C3"/>
  <c r="AB8" i="13"/>
  <c r="O7"/>
  <c r="G7"/>
  <c r="C90" i="4"/>
  <c r="E60"/>
  <c r="E67"/>
  <c r="E68"/>
  <c r="E69"/>
  <c r="E70"/>
  <c r="E71"/>
  <c r="E72"/>
  <c r="E61"/>
  <c r="E62"/>
  <c r="E63"/>
  <c r="E64"/>
  <c r="E66"/>
  <c r="H128" i="28" l="1"/>
  <c r="D195" s="1"/>
  <c r="D198" s="1"/>
  <c r="H8" i="4"/>
  <c r="S12" i="13"/>
  <c r="U12"/>
  <c r="T12"/>
  <c r="S46" l="1"/>
  <c r="S22"/>
  <c r="P57"/>
  <c r="H57"/>
  <c r="S35"/>
  <c r="V22"/>
  <c r="U22"/>
  <c r="T22"/>
  <c r="U23"/>
  <c r="S19"/>
  <c r="S15"/>
  <c r="T15"/>
  <c r="S7"/>
  <c r="S5"/>
  <c r="S42"/>
  <c r="S41"/>
  <c r="T25"/>
  <c r="S25"/>
  <c r="F58" i="5" l="1"/>
  <c r="F56"/>
  <c r="G56"/>
  <c r="E56"/>
  <c r="T3" i="22"/>
  <c r="T4"/>
  <c r="T5"/>
  <c r="T2"/>
  <c r="Q18"/>
  <c r="Q10"/>
  <c r="Q2"/>
  <c r="G48" i="4"/>
  <c r="Q22" i="22"/>
  <c r="Q21"/>
  <c r="Q20"/>
  <c r="Q19"/>
  <c r="Q14"/>
  <c r="Q13"/>
  <c r="Q12"/>
  <c r="Q11"/>
  <c r="Q4"/>
  <c r="Q5"/>
  <c r="Q6"/>
  <c r="Q3"/>
  <c r="D28" l="1"/>
  <c r="E28"/>
  <c r="F28"/>
  <c r="G28"/>
  <c r="H28"/>
  <c r="C28"/>
  <c r="D18"/>
  <c r="D17"/>
  <c r="D23"/>
  <c r="E23"/>
  <c r="F23"/>
  <c r="G23"/>
  <c r="H23"/>
  <c r="I23"/>
  <c r="J23"/>
  <c r="K23"/>
  <c r="L23"/>
  <c r="M23"/>
  <c r="N23"/>
  <c r="D24"/>
  <c r="E24"/>
  <c r="F24"/>
  <c r="G24"/>
  <c r="H24"/>
  <c r="I24"/>
  <c r="J24"/>
  <c r="K24"/>
  <c r="L24"/>
  <c r="M24"/>
  <c r="N24"/>
  <c r="D15"/>
  <c r="E15"/>
  <c r="F15"/>
  <c r="G15"/>
  <c r="H15"/>
  <c r="I15"/>
  <c r="J15"/>
  <c r="K15"/>
  <c r="L15"/>
  <c r="M15"/>
  <c r="N15"/>
  <c r="D16"/>
  <c r="E16"/>
  <c r="F16"/>
  <c r="G16"/>
  <c r="H16"/>
  <c r="I16"/>
  <c r="J16"/>
  <c r="K16"/>
  <c r="L16"/>
  <c r="M16"/>
  <c r="N16"/>
  <c r="D10"/>
  <c r="D9"/>
  <c r="D8"/>
  <c r="E8"/>
  <c r="F8"/>
  <c r="G8"/>
  <c r="H8"/>
  <c r="I8"/>
  <c r="J8"/>
  <c r="K8"/>
  <c r="L8"/>
  <c r="M8"/>
  <c r="N8"/>
  <c r="D7"/>
  <c r="E7"/>
  <c r="E9" s="1"/>
  <c r="F7"/>
  <c r="F9" s="1"/>
  <c r="F10" s="1"/>
  <c r="F17" s="1"/>
  <c r="F18" s="1"/>
  <c r="F25" s="1"/>
  <c r="G7"/>
  <c r="G9" s="1"/>
  <c r="G10" s="1"/>
  <c r="G17" s="1"/>
  <c r="G18" s="1"/>
  <c r="G25" s="1"/>
  <c r="H7"/>
  <c r="H9" s="1"/>
  <c r="H10" s="1"/>
  <c r="H17" s="1"/>
  <c r="H18" s="1"/>
  <c r="H25" s="1"/>
  <c r="I7"/>
  <c r="I9" s="1"/>
  <c r="I10" s="1"/>
  <c r="I17" s="1"/>
  <c r="I18" s="1"/>
  <c r="I25" s="1"/>
  <c r="I28" s="1"/>
  <c r="J7"/>
  <c r="J9" s="1"/>
  <c r="J10" s="1"/>
  <c r="J17" s="1"/>
  <c r="J18" s="1"/>
  <c r="J25" s="1"/>
  <c r="J28" s="1"/>
  <c r="K7"/>
  <c r="K9" s="1"/>
  <c r="K10" s="1"/>
  <c r="K17" s="1"/>
  <c r="K18" s="1"/>
  <c r="K25" s="1"/>
  <c r="K28" s="1"/>
  <c r="L7"/>
  <c r="L9" s="1"/>
  <c r="L10" s="1"/>
  <c r="L17" s="1"/>
  <c r="L18" s="1"/>
  <c r="L25" s="1"/>
  <c r="L28" s="1"/>
  <c r="M7"/>
  <c r="M9" s="1"/>
  <c r="M10" s="1"/>
  <c r="M17" s="1"/>
  <c r="M18" s="1"/>
  <c r="M25" s="1"/>
  <c r="M28" s="1"/>
  <c r="N7"/>
  <c r="N9" s="1"/>
  <c r="N10" s="1"/>
  <c r="N17" s="1"/>
  <c r="N18" s="1"/>
  <c r="N25" s="1"/>
  <c r="N28" s="1"/>
  <c r="C24"/>
  <c r="C23"/>
  <c r="C18"/>
  <c r="C25" s="1"/>
  <c r="C10"/>
  <c r="C16"/>
  <c r="C15"/>
  <c r="C17" s="1"/>
  <c r="C9"/>
  <c r="C8"/>
  <c r="C7"/>
  <c r="E15" i="10"/>
  <c r="E16"/>
  <c r="E17"/>
  <c r="E18"/>
  <c r="E19"/>
  <c r="E20"/>
  <c r="D24" i="11"/>
  <c r="D23"/>
  <c r="D22"/>
  <c r="B24"/>
  <c r="B23"/>
  <c r="B22"/>
  <c r="Q28" i="22" l="1"/>
  <c r="E10"/>
  <c r="E17" s="1"/>
  <c r="E18" s="1"/>
  <c r="E25" s="1"/>
  <c r="P9"/>
  <c r="D25"/>
  <c r="D10" i="5"/>
  <c r="J10"/>
  <c r="K10"/>
  <c r="I10"/>
  <c r="F10"/>
  <c r="G10"/>
  <c r="E10"/>
  <c r="O27" i="13" l="1"/>
  <c r="O28"/>
  <c r="O26"/>
  <c r="G27"/>
  <c r="G28"/>
  <c r="G26"/>
  <c r="T14"/>
  <c r="T13"/>
  <c r="G14"/>
  <c r="G13"/>
  <c r="I12"/>
  <c r="J12"/>
  <c r="H12"/>
  <c r="G12"/>
  <c r="P12"/>
  <c r="AC55"/>
  <c r="W55"/>
  <c r="X55"/>
  <c r="Y55"/>
  <c r="Z55"/>
  <c r="E67"/>
  <c r="U49"/>
  <c r="U48"/>
  <c r="U47"/>
  <c r="S45"/>
  <c r="S44"/>
  <c r="S43"/>
  <c r="N29"/>
  <c r="M29"/>
  <c r="L29"/>
  <c r="K29"/>
  <c r="K34"/>
  <c r="K33"/>
  <c r="K32"/>
  <c r="K31"/>
  <c r="K30"/>
  <c r="O34"/>
  <c r="O33"/>
  <c r="O32"/>
  <c r="O31"/>
  <c r="O30"/>
  <c r="R29"/>
  <c r="Q29"/>
  <c r="P29"/>
  <c r="O29"/>
  <c r="G34"/>
  <c r="G33"/>
  <c r="G32"/>
  <c r="G31"/>
  <c r="G30"/>
  <c r="J29"/>
  <c r="I29"/>
  <c r="H29"/>
  <c r="G29"/>
  <c r="C30"/>
  <c r="C31"/>
  <c r="C32"/>
  <c r="C33"/>
  <c r="C34"/>
  <c r="E29"/>
  <c r="F29"/>
  <c r="D29"/>
  <c r="Q25"/>
  <c r="P25"/>
  <c r="O25" s="1"/>
  <c r="K26"/>
  <c r="K27"/>
  <c r="K28"/>
  <c r="M25"/>
  <c r="N25"/>
  <c r="L25"/>
  <c r="K25" s="1"/>
  <c r="I25"/>
  <c r="J25"/>
  <c r="H25"/>
  <c r="G25" s="1"/>
  <c r="E25"/>
  <c r="F25"/>
  <c r="D25"/>
  <c r="C26"/>
  <c r="G23"/>
  <c r="G24"/>
  <c r="I22"/>
  <c r="I55" s="1"/>
  <c r="J22"/>
  <c r="J55" s="1"/>
  <c r="H22"/>
  <c r="G22" s="1"/>
  <c r="G55" s="1"/>
  <c r="O24"/>
  <c r="O23"/>
  <c r="Q22"/>
  <c r="R22"/>
  <c r="P22"/>
  <c r="O22" s="1"/>
  <c r="M22"/>
  <c r="N22"/>
  <c r="L22"/>
  <c r="K22"/>
  <c r="K24"/>
  <c r="K23"/>
  <c r="C24"/>
  <c r="C23"/>
  <c r="C22" s="1"/>
  <c r="E22"/>
  <c r="F22"/>
  <c r="D22"/>
  <c r="O6"/>
  <c r="O14"/>
  <c r="O13"/>
  <c r="AE12"/>
  <c r="AD12"/>
  <c r="AD55" s="1"/>
  <c r="K14"/>
  <c r="K13"/>
  <c r="M12"/>
  <c r="M55" s="1"/>
  <c r="N12"/>
  <c r="N55" s="1"/>
  <c r="L12"/>
  <c r="K12" s="1"/>
  <c r="K55" s="1"/>
  <c r="C14"/>
  <c r="C13"/>
  <c r="E12"/>
  <c r="F12"/>
  <c r="D12"/>
  <c r="C12" s="1"/>
  <c r="Q12"/>
  <c r="R12"/>
  <c r="S14"/>
  <c r="S13"/>
  <c r="V12"/>
  <c r="S17"/>
  <c r="S18"/>
  <c r="S16"/>
  <c r="S6"/>
  <c r="AA40"/>
  <c r="AB40" s="1"/>
  <c r="AA43"/>
  <c r="AB43" s="1"/>
  <c r="AA44"/>
  <c r="AB44" s="1"/>
  <c r="AA45"/>
  <c r="AB45" s="1"/>
  <c r="AA47"/>
  <c r="AA48"/>
  <c r="AA49"/>
  <c r="AA50"/>
  <c r="AA51"/>
  <c r="AA52"/>
  <c r="AA53"/>
  <c r="AA54"/>
  <c r="AA6"/>
  <c r="AB6" s="1"/>
  <c r="AA8"/>
  <c r="AA9"/>
  <c r="AB9" s="1"/>
  <c r="AA10"/>
  <c r="AB10" s="1"/>
  <c r="AA11"/>
  <c r="AB11" s="1"/>
  <c r="AA13"/>
  <c r="AA14"/>
  <c r="AA16"/>
  <c r="AB16" s="1"/>
  <c r="AA17"/>
  <c r="AB17" s="1"/>
  <c r="AA18"/>
  <c r="AB18" s="1"/>
  <c r="AA20"/>
  <c r="AB20" s="1"/>
  <c r="AA21"/>
  <c r="AB21" s="1"/>
  <c r="AA23"/>
  <c r="AB23" s="1"/>
  <c r="AA24"/>
  <c r="AB24" s="1"/>
  <c r="AA26"/>
  <c r="AB26" s="1"/>
  <c r="AA27"/>
  <c r="AB27" s="1"/>
  <c r="AA28"/>
  <c r="AB28" s="1"/>
  <c r="AA30"/>
  <c r="AB30" s="1"/>
  <c r="AA31"/>
  <c r="AB31" s="1"/>
  <c r="AA32"/>
  <c r="AB32" s="1"/>
  <c r="AA33"/>
  <c r="AB33" s="1"/>
  <c r="AA34"/>
  <c r="AB34" s="1"/>
  <c r="AA36"/>
  <c r="AB36" s="1"/>
  <c r="AA37"/>
  <c r="AB37" s="1"/>
  <c r="AA38"/>
  <c r="AB38" s="1"/>
  <c r="AA39"/>
  <c r="AB39" s="1"/>
  <c r="C19" i="15"/>
  <c r="L49" i="10"/>
  <c r="C50" i="14" s="1"/>
  <c r="C46" i="15"/>
  <c r="L45" i="10"/>
  <c r="C46" i="14" s="1"/>
  <c r="C41" i="15"/>
  <c r="L40" i="10"/>
  <c r="C41" i="14" s="1"/>
  <c r="C35" i="15"/>
  <c r="P35" i="10"/>
  <c r="C29" i="15"/>
  <c r="C25"/>
  <c r="C22"/>
  <c r="L21" i="10"/>
  <c r="C22" i="14" s="1"/>
  <c r="J40" i="5"/>
  <c r="G40"/>
  <c r="F40"/>
  <c r="E40"/>
  <c r="H40" s="1"/>
  <c r="D40"/>
  <c r="H22"/>
  <c r="L22"/>
  <c r="M22"/>
  <c r="J30" i="4"/>
  <c r="E55" i="10"/>
  <c r="E56"/>
  <c r="E57"/>
  <c r="E58"/>
  <c r="E59"/>
  <c r="E60"/>
  <c r="J21" i="4"/>
  <c r="J6"/>
  <c r="J15"/>
  <c r="J8"/>
  <c r="J9"/>
  <c r="J11"/>
  <c r="J12"/>
  <c r="J14"/>
  <c r="J16"/>
  <c r="J18"/>
  <c r="J19"/>
  <c r="J22"/>
  <c r="J24"/>
  <c r="J25"/>
  <c r="J26"/>
  <c r="J28"/>
  <c r="J29"/>
  <c r="J31"/>
  <c r="J32"/>
  <c r="J34"/>
  <c r="J35"/>
  <c r="J36"/>
  <c r="J37"/>
  <c r="J38"/>
  <c r="J41"/>
  <c r="J42"/>
  <c r="J43"/>
  <c r="J45"/>
  <c r="J46"/>
  <c r="J47"/>
  <c r="J49"/>
  <c r="J50"/>
  <c r="J51"/>
  <c r="J52"/>
  <c r="I8"/>
  <c r="L8" s="1"/>
  <c r="I9"/>
  <c r="L9" s="1"/>
  <c r="I11"/>
  <c r="L11" s="1"/>
  <c r="I12"/>
  <c r="L12" s="1"/>
  <c r="I14"/>
  <c r="L14" s="1"/>
  <c r="I15"/>
  <c r="K15" s="1"/>
  <c r="I16"/>
  <c r="L16" s="1"/>
  <c r="I18"/>
  <c r="L18" s="1"/>
  <c r="I19"/>
  <c r="L19" s="1"/>
  <c r="I21"/>
  <c r="K21" s="1"/>
  <c r="I22"/>
  <c r="L22" s="1"/>
  <c r="I24"/>
  <c r="L24" s="1"/>
  <c r="I25"/>
  <c r="L25" s="1"/>
  <c r="I26"/>
  <c r="L26" s="1"/>
  <c r="I28"/>
  <c r="L28" s="1"/>
  <c r="I29"/>
  <c r="L29" s="1"/>
  <c r="I30"/>
  <c r="K30" s="1"/>
  <c r="I31"/>
  <c r="L31" s="1"/>
  <c r="I32"/>
  <c r="L32" s="1"/>
  <c r="I34"/>
  <c r="L34" s="1"/>
  <c r="I35"/>
  <c r="L35" s="1"/>
  <c r="I36"/>
  <c r="L36" s="1"/>
  <c r="I37"/>
  <c r="L37" s="1"/>
  <c r="I38"/>
  <c r="L38" s="1"/>
  <c r="I41"/>
  <c r="L41" s="1"/>
  <c r="I42"/>
  <c r="L42" s="1"/>
  <c r="I43"/>
  <c r="L43" s="1"/>
  <c r="I45"/>
  <c r="L45" s="1"/>
  <c r="I46"/>
  <c r="L46" s="1"/>
  <c r="I47"/>
  <c r="L47" s="1"/>
  <c r="I49"/>
  <c r="L49" s="1"/>
  <c r="I50"/>
  <c r="L50" s="1"/>
  <c r="I51"/>
  <c r="L51" s="1"/>
  <c r="I52"/>
  <c r="L52" s="1"/>
  <c r="G40"/>
  <c r="AA42" i="13" s="1"/>
  <c r="AB42" s="1"/>
  <c r="F40" i="4"/>
  <c r="I40" s="1"/>
  <c r="J7"/>
  <c r="I7"/>
  <c r="L7" s="1"/>
  <c r="I6"/>
  <c r="L6" s="1"/>
  <c r="E3"/>
  <c r="F3"/>
  <c r="G3"/>
  <c r="AA5" i="13" s="1"/>
  <c r="D3" i="4"/>
  <c r="D53"/>
  <c r="B122" i="10"/>
  <c r="J40" i="4" l="1"/>
  <c r="L40" s="1"/>
  <c r="K47"/>
  <c r="K46"/>
  <c r="K45"/>
  <c r="K43"/>
  <c r="K42"/>
  <c r="K41"/>
  <c r="K38"/>
  <c r="K37"/>
  <c r="K36"/>
  <c r="K35"/>
  <c r="K34"/>
  <c r="K32"/>
  <c r="K31"/>
  <c r="K29"/>
  <c r="K28"/>
  <c r="K26"/>
  <c r="K25"/>
  <c r="K24"/>
  <c r="K19"/>
  <c r="K18"/>
  <c r="K16"/>
  <c r="K14"/>
  <c r="K12"/>
  <c r="K11"/>
  <c r="K9"/>
  <c r="K8"/>
  <c r="K7"/>
  <c r="L30"/>
  <c r="L15"/>
  <c r="AB13" i="13"/>
  <c r="K52" i="4"/>
  <c r="K51"/>
  <c r="K50"/>
  <c r="K49"/>
  <c r="K22"/>
  <c r="L21"/>
  <c r="O12" i="13"/>
  <c r="L55"/>
  <c r="H55"/>
  <c r="C29"/>
  <c r="C25"/>
  <c r="C55" s="1"/>
  <c r="AB14"/>
  <c r="K6" i="4"/>
  <c r="AE25" i="13"/>
  <c r="C137" i="10"/>
  <c r="D137"/>
  <c r="C136"/>
  <c r="C139" s="1"/>
  <c r="D136"/>
  <c r="D139" s="1"/>
  <c r="C135"/>
  <c r="D135"/>
  <c r="C134"/>
  <c r="C138" s="1"/>
  <c r="D134"/>
  <c r="D138" s="1"/>
  <c r="F48" i="4"/>
  <c r="E48"/>
  <c r="D41" i="7"/>
  <c r="E41"/>
  <c r="F41"/>
  <c r="G41"/>
  <c r="H41"/>
  <c r="I41"/>
  <c r="J41"/>
  <c r="C41"/>
  <c r="T29" i="13"/>
  <c r="S29"/>
  <c r="F29" i="7"/>
  <c r="D27" i="5"/>
  <c r="D69" i="10"/>
  <c r="B64"/>
  <c r="J20" i="5"/>
  <c r="D47" i="11" s="1"/>
  <c r="K20" i="5"/>
  <c r="D48" i="11" s="1"/>
  <c r="I20" i="5"/>
  <c r="D46" i="11" s="1"/>
  <c r="E20" i="5"/>
  <c r="F20"/>
  <c r="B47" i="11" s="1"/>
  <c r="G20" i="5"/>
  <c r="B48" i="11" s="1"/>
  <c r="D20" i="5"/>
  <c r="B54" i="10"/>
  <c r="G20" i="4"/>
  <c r="AF19" i="13"/>
  <c r="AE19"/>
  <c r="AF15"/>
  <c r="AE15"/>
  <c r="U15"/>
  <c r="V15"/>
  <c r="D15" i="7"/>
  <c r="E15"/>
  <c r="F15"/>
  <c r="G15"/>
  <c r="H15"/>
  <c r="I15"/>
  <c r="J15"/>
  <c r="C15"/>
  <c r="AA22" i="13" l="1"/>
  <c r="AB22" s="1"/>
  <c r="J20" i="4"/>
  <c r="I20"/>
  <c r="J48"/>
  <c r="I48"/>
  <c r="K40"/>
  <c r="H20" i="5"/>
  <c r="B46" i="11"/>
  <c r="F13" i="5"/>
  <c r="B31" i="11" s="1"/>
  <c r="G13" i="5"/>
  <c r="B32" i="11" s="1"/>
  <c r="I13" i="5"/>
  <c r="D30" i="11" s="1"/>
  <c r="J13" i="5"/>
  <c r="D31" i="11" s="1"/>
  <c r="K13" i="5"/>
  <c r="D32" i="11" s="1"/>
  <c r="E13" i="5"/>
  <c r="B30" i="11" s="1"/>
  <c r="F13" i="4"/>
  <c r="G13"/>
  <c r="AA15" i="13" s="1"/>
  <c r="AB15" s="1"/>
  <c r="H13" i="4"/>
  <c r="E13"/>
  <c r="C12" i="7"/>
  <c r="E12"/>
  <c r="F12"/>
  <c r="G12"/>
  <c r="G56" s="1"/>
  <c r="H12"/>
  <c r="I12"/>
  <c r="J12"/>
  <c r="J56" s="1"/>
  <c r="D12"/>
  <c r="V7" i="13"/>
  <c r="E4" i="19"/>
  <c r="F4"/>
  <c r="G4"/>
  <c r="H4"/>
  <c r="I4"/>
  <c r="J4"/>
  <c r="K4"/>
  <c r="D4"/>
  <c r="AE5" i="13"/>
  <c r="P5"/>
  <c r="P55" s="1"/>
  <c r="U5"/>
  <c r="V5"/>
  <c r="T5"/>
  <c r="E5" i="7"/>
  <c r="F5"/>
  <c r="G5"/>
  <c r="H5"/>
  <c r="I5"/>
  <c r="J5"/>
  <c r="D5"/>
  <c r="B10" i="10"/>
  <c r="C4"/>
  <c r="D4"/>
  <c r="E4"/>
  <c r="L4" s="1"/>
  <c r="C55" i="14" s="1"/>
  <c r="B4" i="10"/>
  <c r="E23" i="4"/>
  <c r="F23"/>
  <c r="H53"/>
  <c r="E44"/>
  <c r="F44"/>
  <c r="I51" i="7"/>
  <c r="J51"/>
  <c r="I47"/>
  <c r="J47"/>
  <c r="J35"/>
  <c r="I35"/>
  <c r="G39" i="4"/>
  <c r="AA41" i="13" s="1"/>
  <c r="F39" i="4"/>
  <c r="E39"/>
  <c r="AF35" i="13"/>
  <c r="E87" i="10"/>
  <c r="E33" i="4"/>
  <c r="F33"/>
  <c r="G33"/>
  <c r="AA35" i="13" s="1"/>
  <c r="AB35" s="1"/>
  <c r="U31"/>
  <c r="U32"/>
  <c r="U33"/>
  <c r="U34"/>
  <c r="U30"/>
  <c r="U29"/>
  <c r="V29"/>
  <c r="D29" i="7"/>
  <c r="E29"/>
  <c r="G29"/>
  <c r="H29"/>
  <c r="I29"/>
  <c r="J29"/>
  <c r="C29"/>
  <c r="F27" i="5"/>
  <c r="B63" i="11" s="1"/>
  <c r="G27" i="5"/>
  <c r="B64" i="11" s="1"/>
  <c r="I27" i="5"/>
  <c r="D62" i="11" s="1"/>
  <c r="J27" i="5"/>
  <c r="D63" i="11" s="1"/>
  <c r="K27" i="5"/>
  <c r="D64" i="11" s="1"/>
  <c r="E27" i="5"/>
  <c r="B62" i="11" s="1"/>
  <c r="F27" i="4"/>
  <c r="G27"/>
  <c r="AA29" i="13" s="1"/>
  <c r="AB29" s="1"/>
  <c r="E27" i="4"/>
  <c r="E10"/>
  <c r="F10"/>
  <c r="G10"/>
  <c r="AA12" i="13" s="1"/>
  <c r="AB12" s="1"/>
  <c r="E5" i="4"/>
  <c r="F5"/>
  <c r="E18" i="19"/>
  <c r="F18"/>
  <c r="G18"/>
  <c r="H18"/>
  <c r="I18"/>
  <c r="J18"/>
  <c r="K18"/>
  <c r="D18"/>
  <c r="B44" i="10"/>
  <c r="E17" i="4"/>
  <c r="F17"/>
  <c r="E42" i="7"/>
  <c r="H56" l="1"/>
  <c r="J10" i="4"/>
  <c r="I10"/>
  <c r="J27"/>
  <c r="I27"/>
  <c r="J33"/>
  <c r="I33"/>
  <c r="J39"/>
  <c r="I39"/>
  <c r="J13"/>
  <c r="I13"/>
  <c r="L48"/>
  <c r="K48"/>
  <c r="K20"/>
  <c r="L20"/>
  <c r="E53"/>
  <c r="F53"/>
  <c r="T19" i="13"/>
  <c r="U19"/>
  <c r="V19"/>
  <c r="I7" i="7"/>
  <c r="I25"/>
  <c r="I19"/>
  <c r="D19"/>
  <c r="E19"/>
  <c r="F19"/>
  <c r="G19"/>
  <c r="H19"/>
  <c r="C19"/>
  <c r="J17" i="5"/>
  <c r="D39" i="11" s="1"/>
  <c r="K17" i="5"/>
  <c r="I17"/>
  <c r="D38" i="11" s="1"/>
  <c r="E17" i="5"/>
  <c r="B38" i="11" s="1"/>
  <c r="F17" i="5"/>
  <c r="B39" i="11" s="1"/>
  <c r="G17" i="5"/>
  <c r="B40" i="11" s="1"/>
  <c r="D17" i="5"/>
  <c r="G17" i="4"/>
  <c r="AA19" i="13" s="1"/>
  <c r="AB19" s="1"/>
  <c r="AG55"/>
  <c r="AH55"/>
  <c r="AI55"/>
  <c r="AJ55"/>
  <c r="AK55"/>
  <c r="F67"/>
  <c r="V66"/>
  <c r="U66"/>
  <c r="V65"/>
  <c r="U65"/>
  <c r="D51" i="7"/>
  <c r="E51"/>
  <c r="F51"/>
  <c r="G51"/>
  <c r="H51"/>
  <c r="C51"/>
  <c r="D47"/>
  <c r="E47"/>
  <c r="F47"/>
  <c r="G47"/>
  <c r="H47"/>
  <c r="C47"/>
  <c r="D7"/>
  <c r="D56" s="1"/>
  <c r="E7"/>
  <c r="E56" s="1"/>
  <c r="F7"/>
  <c r="F56" s="1"/>
  <c r="G7"/>
  <c r="H7"/>
  <c r="C7"/>
  <c r="C56" s="1"/>
  <c r="D35"/>
  <c r="E35"/>
  <c r="F35"/>
  <c r="G35"/>
  <c r="H35"/>
  <c r="C35"/>
  <c r="D25"/>
  <c r="E25"/>
  <c r="F25"/>
  <c r="G25"/>
  <c r="H25"/>
  <c r="C25"/>
  <c r="B59" i="3"/>
  <c r="D49" i="19"/>
  <c r="E49"/>
  <c r="F49"/>
  <c r="H49"/>
  <c r="I49"/>
  <c r="J49"/>
  <c r="K49"/>
  <c r="G49"/>
  <c r="AF50" i="13"/>
  <c r="AE50"/>
  <c r="S51"/>
  <c r="AB51" s="1"/>
  <c r="S52"/>
  <c r="AB52" s="1"/>
  <c r="S53"/>
  <c r="AB53" s="1"/>
  <c r="S54"/>
  <c r="AB54" s="1"/>
  <c r="V50"/>
  <c r="U50"/>
  <c r="T50"/>
  <c r="S50" s="1"/>
  <c r="AB50" s="1"/>
  <c r="K45" i="19"/>
  <c r="J45"/>
  <c r="AF46" i="13"/>
  <c r="AF55" s="1"/>
  <c r="AE46"/>
  <c r="S48"/>
  <c r="AB48" s="1"/>
  <c r="S49"/>
  <c r="AB49" s="1"/>
  <c r="S47"/>
  <c r="AB47" s="1"/>
  <c r="U46"/>
  <c r="T46"/>
  <c r="K34" i="19"/>
  <c r="J34"/>
  <c r="AE35" i="13"/>
  <c r="AE41"/>
  <c r="V35"/>
  <c r="T35"/>
  <c r="U35"/>
  <c r="T41"/>
  <c r="U41"/>
  <c r="AB41"/>
  <c r="D24" i="19"/>
  <c r="E24"/>
  <c r="F24"/>
  <c r="G24"/>
  <c r="H24"/>
  <c r="I24"/>
  <c r="J24"/>
  <c r="K24"/>
  <c r="C24"/>
  <c r="U25" i="13"/>
  <c r="J5" i="10"/>
  <c r="J7"/>
  <c r="J8"/>
  <c r="J9"/>
  <c r="J10"/>
  <c r="J11"/>
  <c r="J12"/>
  <c r="K12" s="1"/>
  <c r="J13"/>
  <c r="K13" s="1"/>
  <c r="J14"/>
  <c r="J15"/>
  <c r="K15" s="1"/>
  <c r="J16"/>
  <c r="K16" s="1"/>
  <c r="J17"/>
  <c r="K17" s="1"/>
  <c r="J18"/>
  <c r="J19"/>
  <c r="K19" s="1"/>
  <c r="J20"/>
  <c r="K20" s="1"/>
  <c r="J21"/>
  <c r="J22"/>
  <c r="K22" s="1"/>
  <c r="J23"/>
  <c r="K23" s="1"/>
  <c r="J25"/>
  <c r="J26"/>
  <c r="J27"/>
  <c r="J28"/>
  <c r="J29"/>
  <c r="K29" s="1"/>
  <c r="J30"/>
  <c r="K30" s="1"/>
  <c r="J31"/>
  <c r="K31" s="1"/>
  <c r="J32"/>
  <c r="J33"/>
  <c r="K33" s="1"/>
  <c r="J35"/>
  <c r="J36"/>
  <c r="J37"/>
  <c r="J38"/>
  <c r="J39"/>
  <c r="J41"/>
  <c r="J42"/>
  <c r="J43"/>
  <c r="J44"/>
  <c r="J46"/>
  <c r="J47"/>
  <c r="J48"/>
  <c r="J49"/>
  <c r="J50"/>
  <c r="J51"/>
  <c r="K51" s="1"/>
  <c r="J52"/>
  <c r="K52" s="1"/>
  <c r="J53"/>
  <c r="K53" s="1"/>
  <c r="B134"/>
  <c r="B135"/>
  <c r="B136"/>
  <c r="B137"/>
  <c r="C122"/>
  <c r="D122"/>
  <c r="E122"/>
  <c r="C110"/>
  <c r="D110"/>
  <c r="B110"/>
  <c r="C98"/>
  <c r="D98"/>
  <c r="B98"/>
  <c r="C86"/>
  <c r="D86"/>
  <c r="B86"/>
  <c r="C74"/>
  <c r="D74"/>
  <c r="E74"/>
  <c r="C64"/>
  <c r="D64"/>
  <c r="C54"/>
  <c r="D54"/>
  <c r="E54"/>
  <c r="C44"/>
  <c r="D44"/>
  <c r="E44"/>
  <c r="C34"/>
  <c r="D34"/>
  <c r="E34"/>
  <c r="B34"/>
  <c r="C24"/>
  <c r="D24"/>
  <c r="E24"/>
  <c r="B24"/>
  <c r="C14"/>
  <c r="C133" s="1"/>
  <c r="C141" s="1"/>
  <c r="D14"/>
  <c r="B14"/>
  <c r="B133" s="1"/>
  <c r="D128"/>
  <c r="C128"/>
  <c r="B128"/>
  <c r="E128" s="1"/>
  <c r="D127"/>
  <c r="C127"/>
  <c r="B127"/>
  <c r="E127" s="1"/>
  <c r="E126"/>
  <c r="E125"/>
  <c r="E124"/>
  <c r="E123"/>
  <c r="D129"/>
  <c r="C129"/>
  <c r="B129"/>
  <c r="D116"/>
  <c r="C116"/>
  <c r="B116"/>
  <c r="E116" s="1"/>
  <c r="D115"/>
  <c r="C115"/>
  <c r="B115"/>
  <c r="E115" s="1"/>
  <c r="E114"/>
  <c r="E113"/>
  <c r="E112"/>
  <c r="E111"/>
  <c r="D117"/>
  <c r="C117"/>
  <c r="B117"/>
  <c r="E99"/>
  <c r="E100"/>
  <c r="E101"/>
  <c r="E102"/>
  <c r="B103"/>
  <c r="C103"/>
  <c r="D103"/>
  <c r="E103"/>
  <c r="Q5" i="13"/>
  <c r="Q55" s="1"/>
  <c r="R5"/>
  <c r="R55" s="1"/>
  <c r="L12" i="5"/>
  <c r="H11"/>
  <c r="H12"/>
  <c r="M12" s="1"/>
  <c r="H14"/>
  <c r="E48"/>
  <c r="B95" i="11" s="1"/>
  <c r="F48" i="5"/>
  <c r="B96" i="11" s="1"/>
  <c r="G48" i="5"/>
  <c r="B97" i="11" s="1"/>
  <c r="I48" i="5"/>
  <c r="D95" i="11" s="1"/>
  <c r="J48" i="5"/>
  <c r="D96" i="11" s="1"/>
  <c r="K48" i="5"/>
  <c r="D97" i="11" s="1"/>
  <c r="D48" i="5"/>
  <c r="C4"/>
  <c r="J4" i="10"/>
  <c r="H4" i="5"/>
  <c r="L4"/>
  <c r="D3"/>
  <c r="D53" s="1"/>
  <c r="E3"/>
  <c r="B6" i="11" s="1"/>
  <c r="F3" i="5"/>
  <c r="B7" i="11" s="1"/>
  <c r="G3" i="5"/>
  <c r="B8" i="11" s="1"/>
  <c r="H3" i="5"/>
  <c r="I3"/>
  <c r="D6" i="11" s="1"/>
  <c r="J3" i="5"/>
  <c r="D7" i="11" s="1"/>
  <c r="K3" i="5"/>
  <c r="D8" i="11" s="1"/>
  <c r="L3" i="5"/>
  <c r="E44"/>
  <c r="B86" i="11" s="1"/>
  <c r="F44" i="5"/>
  <c r="B87" i="11" s="1"/>
  <c r="G44" i="5"/>
  <c r="B88" i="11" s="1"/>
  <c r="I44" i="5"/>
  <c r="D86" i="11" s="1"/>
  <c r="J44" i="5"/>
  <c r="D87" i="11" s="1"/>
  <c r="K44" i="5"/>
  <c r="D88" i="11" s="1"/>
  <c r="D44" i="5"/>
  <c r="G44" i="4"/>
  <c r="E5" i="5"/>
  <c r="B14" i="11" s="1"/>
  <c r="F5" i="5"/>
  <c r="B15" i="11" s="1"/>
  <c r="G5" i="5"/>
  <c r="B16" i="11" s="1"/>
  <c r="I5" i="5"/>
  <c r="D14" i="11" s="1"/>
  <c r="J5" i="5"/>
  <c r="D15" i="11" s="1"/>
  <c r="K5" i="5"/>
  <c r="D16" i="11" s="1"/>
  <c r="D5" i="5"/>
  <c r="L6"/>
  <c r="L7"/>
  <c r="L8"/>
  <c r="L9"/>
  <c r="L10"/>
  <c r="L11"/>
  <c r="H6"/>
  <c r="M6" s="1"/>
  <c r="H7"/>
  <c r="M7" s="1"/>
  <c r="H8"/>
  <c r="M8" s="1"/>
  <c r="H9"/>
  <c r="M9" s="1"/>
  <c r="G5" i="4"/>
  <c r="C6" i="5"/>
  <c r="Q6" s="1"/>
  <c r="C7"/>
  <c r="Q7" s="1"/>
  <c r="C8"/>
  <c r="Q8" s="1"/>
  <c r="C9"/>
  <c r="Q9" s="1"/>
  <c r="H24"/>
  <c r="H25"/>
  <c r="H10"/>
  <c r="M10" s="1"/>
  <c r="H15"/>
  <c r="H16"/>
  <c r="H17"/>
  <c r="H18"/>
  <c r="H19"/>
  <c r="H21"/>
  <c r="H26"/>
  <c r="H28"/>
  <c r="H29"/>
  <c r="H30"/>
  <c r="H31"/>
  <c r="H32"/>
  <c r="H34"/>
  <c r="H35"/>
  <c r="H36"/>
  <c r="H37"/>
  <c r="H38"/>
  <c r="H41"/>
  <c r="H42"/>
  <c r="H43"/>
  <c r="H45"/>
  <c r="H46"/>
  <c r="H47"/>
  <c r="H49"/>
  <c r="H50"/>
  <c r="H51"/>
  <c r="H52"/>
  <c r="M52" s="1"/>
  <c r="L25"/>
  <c r="M25" s="1"/>
  <c r="L26"/>
  <c r="L28"/>
  <c r="L29"/>
  <c r="L30"/>
  <c r="M30" s="1"/>
  <c r="L31"/>
  <c r="L32"/>
  <c r="L34"/>
  <c r="L35"/>
  <c r="L14"/>
  <c r="L15"/>
  <c r="L16"/>
  <c r="L18"/>
  <c r="L19"/>
  <c r="L20"/>
  <c r="M20" s="1"/>
  <c r="L21"/>
  <c r="L36"/>
  <c r="L37"/>
  <c r="L38"/>
  <c r="L40"/>
  <c r="M40" s="1"/>
  <c r="L41"/>
  <c r="L42"/>
  <c r="L43"/>
  <c r="L45"/>
  <c r="L46"/>
  <c r="L47"/>
  <c r="L49"/>
  <c r="L50"/>
  <c r="M50" s="1"/>
  <c r="L51"/>
  <c r="M51" s="1"/>
  <c r="L52"/>
  <c r="E33"/>
  <c r="B70" i="11" s="1"/>
  <c r="F33" i="5"/>
  <c r="B71" i="11" s="1"/>
  <c r="G33" i="5"/>
  <c r="B72" i="11" s="1"/>
  <c r="I33" i="5"/>
  <c r="D70" i="11" s="1"/>
  <c r="J33" i="5"/>
  <c r="D71" i="11" s="1"/>
  <c r="K33" i="5"/>
  <c r="D72" i="11" s="1"/>
  <c r="D33" i="5"/>
  <c r="J34" i="10"/>
  <c r="E39" i="5"/>
  <c r="B78" i="11" s="1"/>
  <c r="F39" i="5"/>
  <c r="B79" i="11" s="1"/>
  <c r="G39" i="5"/>
  <c r="B80" i="11" s="1"/>
  <c r="I39" i="5"/>
  <c r="D78" i="11" s="1"/>
  <c r="J39" i="5"/>
  <c r="D79" i="11" s="1"/>
  <c r="K39" i="5"/>
  <c r="D80" i="11" s="1"/>
  <c r="D39" i="5"/>
  <c r="C38"/>
  <c r="Q38" s="1"/>
  <c r="C40"/>
  <c r="Q40" s="1"/>
  <c r="C41"/>
  <c r="Q41" s="1"/>
  <c r="C42"/>
  <c r="Q42" s="1"/>
  <c r="C43"/>
  <c r="Q43" s="1"/>
  <c r="C39"/>
  <c r="Q39" s="1"/>
  <c r="L24"/>
  <c r="L23" s="1"/>
  <c r="E23"/>
  <c r="B54" i="11" s="1"/>
  <c r="F23" i="5"/>
  <c r="B55" i="11" s="1"/>
  <c r="G23" i="5"/>
  <c r="B56" i="11" s="1"/>
  <c r="I23" i="5"/>
  <c r="D54" i="11" s="1"/>
  <c r="J23" i="5"/>
  <c r="D55" i="11" s="1"/>
  <c r="K23" i="5"/>
  <c r="D56" i="11" s="1"/>
  <c r="D23" i="5"/>
  <c r="G23" i="4"/>
  <c r="AA25" i="13" s="1"/>
  <c r="C11" i="5"/>
  <c r="Q11" s="1"/>
  <c r="C12"/>
  <c r="Q12" s="1"/>
  <c r="C13"/>
  <c r="Q13" s="1"/>
  <c r="C14"/>
  <c r="Q14" s="1"/>
  <c r="C15"/>
  <c r="Q15" s="1"/>
  <c r="C16"/>
  <c r="Q16" s="1"/>
  <c r="C17"/>
  <c r="Q17" s="1"/>
  <c r="C18"/>
  <c r="Q18" s="1"/>
  <c r="C19"/>
  <c r="Q19" s="1"/>
  <c r="C20"/>
  <c r="Q20" s="1"/>
  <c r="C21"/>
  <c r="Q21" s="1"/>
  <c r="C22"/>
  <c r="Q22" s="1"/>
  <c r="C23"/>
  <c r="Q23" s="1"/>
  <c r="C24"/>
  <c r="Q24" s="1"/>
  <c r="C25"/>
  <c r="Q25" s="1"/>
  <c r="C26"/>
  <c r="Q26" s="1"/>
  <c r="C27"/>
  <c r="Q27" s="1"/>
  <c r="C28"/>
  <c r="Q28" s="1"/>
  <c r="C29"/>
  <c r="Q29" s="1"/>
  <c r="C30"/>
  <c r="Q30" s="1"/>
  <c r="C31"/>
  <c r="Q31" s="1"/>
  <c r="C32"/>
  <c r="Q32" s="1"/>
  <c r="C33"/>
  <c r="Q33" s="1"/>
  <c r="C34"/>
  <c r="Q34" s="1"/>
  <c r="C35"/>
  <c r="Q35" s="1"/>
  <c r="C36"/>
  <c r="Q36" s="1"/>
  <c r="C37"/>
  <c r="Q37" s="1"/>
  <c r="C44"/>
  <c r="Q44" s="1"/>
  <c r="C45"/>
  <c r="Q45" s="1"/>
  <c r="C46"/>
  <c r="Q46" s="1"/>
  <c r="C47"/>
  <c r="Q47" s="1"/>
  <c r="C48"/>
  <c r="Q48" s="1"/>
  <c r="C49"/>
  <c r="Q49" s="1"/>
  <c r="C50"/>
  <c r="Q50" s="1"/>
  <c r="C51"/>
  <c r="Q51" s="1"/>
  <c r="C52"/>
  <c r="Q52" s="1"/>
  <c r="C10"/>
  <c r="B139" i="10"/>
  <c r="E139" s="1"/>
  <c r="B138"/>
  <c r="E138" s="1"/>
  <c r="E137"/>
  <c r="E136"/>
  <c r="E135"/>
  <c r="E134"/>
  <c r="D104"/>
  <c r="C104"/>
  <c r="B104"/>
  <c r="E104" s="1"/>
  <c r="B105"/>
  <c r="H39" i="11"/>
  <c r="H23"/>
  <c r="H15"/>
  <c r="H7"/>
  <c r="Q53" i="5" l="1"/>
  <c r="C56"/>
  <c r="J6" i="10"/>
  <c r="AA7" i="13"/>
  <c r="J45" i="10"/>
  <c r="AA46" i="13"/>
  <c r="F55" i="4"/>
  <c r="E55"/>
  <c r="L13"/>
  <c r="K13"/>
  <c r="L39"/>
  <c r="K39"/>
  <c r="L33"/>
  <c r="K33"/>
  <c r="L27"/>
  <c r="K27"/>
  <c r="L10"/>
  <c r="K10"/>
  <c r="AB46" i="13"/>
  <c r="I23" i="4"/>
  <c r="J23"/>
  <c r="I44"/>
  <c r="J44"/>
  <c r="I17"/>
  <c r="J17"/>
  <c r="M49" i="5"/>
  <c r="N51" s="1"/>
  <c r="AE55" i="13"/>
  <c r="V55"/>
  <c r="U55"/>
  <c r="T55"/>
  <c r="AB5"/>
  <c r="S55"/>
  <c r="AB25"/>
  <c r="T57"/>
  <c r="D89" i="11"/>
  <c r="F88"/>
  <c r="F87"/>
  <c r="B89"/>
  <c r="D103"/>
  <c r="D98"/>
  <c r="F97"/>
  <c r="F96"/>
  <c r="B98"/>
  <c r="L17" i="5"/>
  <c r="D40" i="11"/>
  <c r="D104"/>
  <c r="M43" i="5"/>
  <c r="M42"/>
  <c r="M41"/>
  <c r="M38"/>
  <c r="M37"/>
  <c r="M36"/>
  <c r="M17"/>
  <c r="M24"/>
  <c r="M3"/>
  <c r="M4"/>
  <c r="M11"/>
  <c r="I53"/>
  <c r="H27"/>
  <c r="M28"/>
  <c r="H23"/>
  <c r="M23" s="1"/>
  <c r="M26"/>
  <c r="L27"/>
  <c r="M35"/>
  <c r="M34"/>
  <c r="M32"/>
  <c r="M31"/>
  <c r="M29"/>
  <c r="M21"/>
  <c r="M19"/>
  <c r="M18"/>
  <c r="M16"/>
  <c r="M15"/>
  <c r="M14"/>
  <c r="J53"/>
  <c r="B105" i="11"/>
  <c r="B104"/>
  <c r="F79"/>
  <c r="F53" i="5"/>
  <c r="B103" i="11"/>
  <c r="B81"/>
  <c r="E53" i="5"/>
  <c r="B141" i="10"/>
  <c r="D133"/>
  <c r="D141" s="1"/>
  <c r="E110"/>
  <c r="O51"/>
  <c r="K48"/>
  <c r="K47"/>
  <c r="K46"/>
  <c r="O47" s="1"/>
  <c r="K39"/>
  <c r="K38"/>
  <c r="K37"/>
  <c r="K36"/>
  <c r="O35" s="1"/>
  <c r="O29"/>
  <c r="O22"/>
  <c r="O19"/>
  <c r="O15"/>
  <c r="O12"/>
  <c r="K10"/>
  <c r="K9"/>
  <c r="K8"/>
  <c r="O7" s="1"/>
  <c r="L13" i="5"/>
  <c r="H13"/>
  <c r="M13" s="1"/>
  <c r="J24" i="10"/>
  <c r="K27" s="1"/>
  <c r="G53" i="4"/>
  <c r="G53" i="5"/>
  <c r="B106" i="11"/>
  <c r="D105"/>
  <c r="F80"/>
  <c r="D81"/>
  <c r="K53" i="5"/>
  <c r="D106" i="11"/>
  <c r="E98" i="10"/>
  <c r="J40"/>
  <c r="C5" i="5"/>
  <c r="Q5" s="1"/>
  <c r="C3"/>
  <c r="E14" i="10"/>
  <c r="E64"/>
  <c r="E86"/>
  <c r="O5" i="13"/>
  <c r="O55" s="1"/>
  <c r="F98" i="11"/>
  <c r="F95"/>
  <c r="F89"/>
  <c r="F86"/>
  <c r="L48" i="5"/>
  <c r="H48"/>
  <c r="M48" s="1"/>
  <c r="L44"/>
  <c r="M47"/>
  <c r="M46"/>
  <c r="M45"/>
  <c r="H44"/>
  <c r="M44" s="1"/>
  <c r="L5"/>
  <c r="H5"/>
  <c r="M5" s="1"/>
  <c r="L39"/>
  <c r="L33"/>
  <c r="H39"/>
  <c r="M39" s="1"/>
  <c r="H33"/>
  <c r="M33" s="1"/>
  <c r="F81" i="11"/>
  <c r="F78"/>
  <c r="D105" i="10"/>
  <c r="C105"/>
  <c r="F15" l="1"/>
  <c r="F14"/>
  <c r="C53" i="5"/>
  <c r="L17" i="4"/>
  <c r="K17"/>
  <c r="L44"/>
  <c r="K44"/>
  <c r="L23"/>
  <c r="K23"/>
  <c r="AA55" i="13"/>
  <c r="AB7"/>
  <c r="AB55"/>
  <c r="T58"/>
  <c r="G55" i="4"/>
  <c r="J53"/>
  <c r="I53"/>
  <c r="L53" i="5"/>
  <c r="M27"/>
  <c r="H53"/>
  <c r="P51" i="10"/>
  <c r="Q51"/>
  <c r="K25"/>
  <c r="K26"/>
  <c r="K42"/>
  <c r="K43"/>
  <c r="K44"/>
  <c r="K41"/>
  <c r="O41" s="1"/>
  <c r="E133"/>
  <c r="J54"/>
  <c r="Q2" i="17"/>
  <c r="P2"/>
  <c r="K360"/>
  <c r="P22"/>
  <c r="P18"/>
  <c r="P11"/>
  <c r="P15"/>
  <c r="P16"/>
  <c r="P21"/>
  <c r="P20"/>
  <c r="P17"/>
  <c r="P8"/>
  <c r="P6"/>
  <c r="L360"/>
  <c r="P3"/>
  <c r="L53" i="4" l="1"/>
  <c r="K53"/>
  <c r="B144" i="10"/>
  <c r="B143"/>
  <c r="P47"/>
  <c r="Q47"/>
  <c r="O25"/>
  <c r="P41"/>
  <c r="Q41"/>
  <c r="C27" i="16"/>
  <c r="E27" s="1"/>
  <c r="B64" i="3"/>
  <c r="B66"/>
  <c r="B65"/>
  <c r="B68"/>
  <c r="B69"/>
  <c r="B67"/>
  <c r="B62"/>
  <c r="B61"/>
  <c r="D92" i="10" l="1"/>
  <c r="C92"/>
  <c r="B92"/>
  <c r="E92" s="1"/>
  <c r="D91"/>
  <c r="C91"/>
  <c r="B91"/>
  <c r="E91" s="1"/>
  <c r="E90"/>
  <c r="E89"/>
  <c r="E88"/>
  <c r="F64" i="11"/>
  <c r="D65"/>
  <c r="B65"/>
  <c r="F62"/>
  <c r="L126"/>
  <c r="L125"/>
  <c r="L128"/>
  <c r="L121"/>
  <c r="K126"/>
  <c r="K123"/>
  <c r="K122"/>
  <c r="F24"/>
  <c r="F23"/>
  <c r="F22"/>
  <c r="D174"/>
  <c r="E174" s="1"/>
  <c r="B174"/>
  <c r="F174" s="1"/>
  <c r="G174" s="1"/>
  <c r="F173"/>
  <c r="G173" s="1"/>
  <c r="E173"/>
  <c r="C173"/>
  <c r="F172"/>
  <c r="G172" s="1"/>
  <c r="E172"/>
  <c r="C172"/>
  <c r="J169"/>
  <c r="D166"/>
  <c r="B166"/>
  <c r="F166" s="1"/>
  <c r="D165"/>
  <c r="D167" s="1"/>
  <c r="E167" s="1"/>
  <c r="B165"/>
  <c r="B167" s="1"/>
  <c r="D160"/>
  <c r="E160" s="1"/>
  <c r="E159"/>
  <c r="B159"/>
  <c r="F159" s="1"/>
  <c r="E158"/>
  <c r="B158"/>
  <c r="B160" s="1"/>
  <c r="D152"/>
  <c r="E152" s="1"/>
  <c r="B152"/>
  <c r="F152" s="1"/>
  <c r="G152" s="1"/>
  <c r="F151"/>
  <c r="G151" s="1"/>
  <c r="E151"/>
  <c r="C151"/>
  <c r="F150"/>
  <c r="G150" s="1"/>
  <c r="E150"/>
  <c r="C150"/>
  <c r="D145"/>
  <c r="E145" s="1"/>
  <c r="B145"/>
  <c r="F145" s="1"/>
  <c r="G145" s="1"/>
  <c r="F144"/>
  <c r="G144" s="1"/>
  <c r="E144"/>
  <c r="C144"/>
  <c r="F143"/>
  <c r="G143" s="1"/>
  <c r="E143"/>
  <c r="C143"/>
  <c r="D138"/>
  <c r="E138" s="1"/>
  <c r="B138"/>
  <c r="F138" s="1"/>
  <c r="G138" s="1"/>
  <c r="F137"/>
  <c r="G137" s="1"/>
  <c r="E137"/>
  <c r="C137"/>
  <c r="F136"/>
  <c r="G136" s="1"/>
  <c r="E136"/>
  <c r="C136"/>
  <c r="B131"/>
  <c r="D130"/>
  <c r="F130" s="1"/>
  <c r="C130"/>
  <c r="L130"/>
  <c r="D129"/>
  <c r="D131" s="1"/>
  <c r="C129"/>
  <c r="C131" s="1"/>
  <c r="M126"/>
  <c r="M123"/>
  <c r="D123"/>
  <c r="E123" s="1"/>
  <c r="B123"/>
  <c r="F123" s="1"/>
  <c r="G123" s="1"/>
  <c r="M122"/>
  <c r="F122"/>
  <c r="G122" s="1"/>
  <c r="E122"/>
  <c r="C122"/>
  <c r="F121"/>
  <c r="G121" s="1"/>
  <c r="E121"/>
  <c r="C121"/>
  <c r="D115"/>
  <c r="B115"/>
  <c r="F115" s="1"/>
  <c r="D114"/>
  <c r="D116" s="1"/>
  <c r="E116" s="1"/>
  <c r="B114"/>
  <c r="B116" s="1"/>
  <c r="F72"/>
  <c r="D73"/>
  <c r="B73"/>
  <c r="F70"/>
  <c r="D57"/>
  <c r="E57" s="1"/>
  <c r="B57"/>
  <c r="F56"/>
  <c r="E56"/>
  <c r="C56"/>
  <c r="F55"/>
  <c r="E55"/>
  <c r="C55"/>
  <c r="F54"/>
  <c r="E54"/>
  <c r="C54"/>
  <c r="F48"/>
  <c r="D49"/>
  <c r="B49"/>
  <c r="F46"/>
  <c r="F40"/>
  <c r="F39"/>
  <c r="F32"/>
  <c r="D33"/>
  <c r="B33"/>
  <c r="F30"/>
  <c r="D17"/>
  <c r="B17"/>
  <c r="F16"/>
  <c r="C16"/>
  <c r="F15"/>
  <c r="C15"/>
  <c r="F14"/>
  <c r="F17" s="1"/>
  <c r="C14"/>
  <c r="C17" s="1"/>
  <c r="F6"/>
  <c r="D80" i="10"/>
  <c r="C80"/>
  <c r="B80"/>
  <c r="E80" s="1"/>
  <c r="D79"/>
  <c r="C79"/>
  <c r="B79"/>
  <c r="E79" s="1"/>
  <c r="E78"/>
  <c r="E77"/>
  <c r="E76"/>
  <c r="E75"/>
  <c r="D70"/>
  <c r="C70"/>
  <c r="B70"/>
  <c r="E70" s="1"/>
  <c r="C69"/>
  <c r="B69"/>
  <c r="E69" s="1"/>
  <c r="E68"/>
  <c r="E67"/>
  <c r="E66"/>
  <c r="E65"/>
  <c r="D60"/>
  <c r="C60"/>
  <c r="B60"/>
  <c r="D59"/>
  <c r="C59"/>
  <c r="B59"/>
  <c r="D50"/>
  <c r="C50"/>
  <c r="B50"/>
  <c r="E50" s="1"/>
  <c r="D49"/>
  <c r="D51" s="1"/>
  <c r="C49"/>
  <c r="C51" s="1"/>
  <c r="B49"/>
  <c r="E48"/>
  <c r="E47"/>
  <c r="E46"/>
  <c r="E45"/>
  <c r="D40"/>
  <c r="C40"/>
  <c r="B40"/>
  <c r="E40" s="1"/>
  <c r="D39"/>
  <c r="C39"/>
  <c r="B39"/>
  <c r="E38"/>
  <c r="E37"/>
  <c r="E36"/>
  <c r="E35"/>
  <c r="D30"/>
  <c r="C30"/>
  <c r="B30"/>
  <c r="E30" s="1"/>
  <c r="D29"/>
  <c r="D31" s="1"/>
  <c r="C29"/>
  <c r="B29"/>
  <c r="E29" s="1"/>
  <c r="E28"/>
  <c r="E27"/>
  <c r="E26"/>
  <c r="E25"/>
  <c r="D20"/>
  <c r="C20"/>
  <c r="B20"/>
  <c r="D19"/>
  <c r="D21" s="1"/>
  <c r="C19"/>
  <c r="C21" s="1"/>
  <c r="B19"/>
  <c r="D10"/>
  <c r="C10"/>
  <c r="E10"/>
  <c r="D9"/>
  <c r="C9"/>
  <c r="B9"/>
  <c r="E9" s="1"/>
  <c r="E8"/>
  <c r="E7"/>
  <c r="E6"/>
  <c r="E5"/>
  <c r="M4" l="1"/>
  <c r="C98" i="11"/>
  <c r="C95"/>
  <c r="C96"/>
  <c r="C97"/>
  <c r="C89"/>
  <c r="C86"/>
  <c r="C87"/>
  <c r="C88"/>
  <c r="E89"/>
  <c r="E87"/>
  <c r="E88"/>
  <c r="E98"/>
  <c r="E96"/>
  <c r="E97"/>
  <c r="E95"/>
  <c r="E86"/>
  <c r="E49" i="10"/>
  <c r="B51"/>
  <c r="C62" i="11"/>
  <c r="C81"/>
  <c r="C78"/>
  <c r="C79"/>
  <c r="C80"/>
  <c r="E64"/>
  <c r="E80"/>
  <c r="E79"/>
  <c r="E81"/>
  <c r="E78"/>
  <c r="E14"/>
  <c r="E15"/>
  <c r="E16"/>
  <c r="B21" i="10"/>
  <c r="K119" i="11"/>
  <c r="M119" s="1"/>
  <c r="K120"/>
  <c r="M120" s="1"/>
  <c r="K127"/>
  <c r="K124"/>
  <c r="M124" s="1"/>
  <c r="K125"/>
  <c r="M125" s="1"/>
  <c r="E62"/>
  <c r="E65"/>
  <c r="F65"/>
  <c r="C65"/>
  <c r="C63"/>
  <c r="E63"/>
  <c r="F63"/>
  <c r="C64"/>
  <c r="F57"/>
  <c r="G54" s="1"/>
  <c r="B25"/>
  <c r="C22"/>
  <c r="D25"/>
  <c r="E22" s="1"/>
  <c r="F104"/>
  <c r="D27" i="16" s="1"/>
  <c r="F105" i="11"/>
  <c r="C24"/>
  <c r="F33"/>
  <c r="G33" s="1"/>
  <c r="C33"/>
  <c r="C32"/>
  <c r="C30"/>
  <c r="E33"/>
  <c r="E32"/>
  <c r="E30"/>
  <c r="F103"/>
  <c r="C103"/>
  <c r="E103"/>
  <c r="F49"/>
  <c r="G49" s="1"/>
  <c r="C49"/>
  <c r="C46"/>
  <c r="E49"/>
  <c r="E46"/>
  <c r="F73"/>
  <c r="C73"/>
  <c r="C70"/>
  <c r="E73"/>
  <c r="E70"/>
  <c r="F116"/>
  <c r="C116"/>
  <c r="F160"/>
  <c r="G160" s="1"/>
  <c r="C160"/>
  <c r="F167"/>
  <c r="G167" s="1"/>
  <c r="C167"/>
  <c r="E104"/>
  <c r="E105"/>
  <c r="G15"/>
  <c r="G16"/>
  <c r="G30"/>
  <c r="G32"/>
  <c r="G46"/>
  <c r="G48"/>
  <c r="E48"/>
  <c r="G70"/>
  <c r="G72"/>
  <c r="E72"/>
  <c r="G115"/>
  <c r="E115"/>
  <c r="F131"/>
  <c r="G130" s="1"/>
  <c r="G159"/>
  <c r="G166"/>
  <c r="E166"/>
  <c r="F7"/>
  <c r="F8"/>
  <c r="B9"/>
  <c r="D9"/>
  <c r="G14"/>
  <c r="G17" s="1"/>
  <c r="C23"/>
  <c r="C31"/>
  <c r="E31"/>
  <c r="F31"/>
  <c r="G31" s="1"/>
  <c r="F38"/>
  <c r="B41"/>
  <c r="D41"/>
  <c r="E41" s="1"/>
  <c r="C47"/>
  <c r="E47"/>
  <c r="F47"/>
  <c r="G47" s="1"/>
  <c r="C48"/>
  <c r="C57"/>
  <c r="C71"/>
  <c r="E71"/>
  <c r="F71"/>
  <c r="G71" s="1"/>
  <c r="C72"/>
  <c r="C114"/>
  <c r="E114"/>
  <c r="F114"/>
  <c r="G114" s="1"/>
  <c r="G116" s="1"/>
  <c r="C115"/>
  <c r="C123"/>
  <c r="M128"/>
  <c r="E129"/>
  <c r="F129"/>
  <c r="G129" s="1"/>
  <c r="E130"/>
  <c r="C138"/>
  <c r="C145"/>
  <c r="C152"/>
  <c r="C158"/>
  <c r="F158"/>
  <c r="G158" s="1"/>
  <c r="C159"/>
  <c r="C165"/>
  <c r="E165"/>
  <c r="F165"/>
  <c r="G165" s="1"/>
  <c r="C166"/>
  <c r="C174"/>
  <c r="E39" i="10"/>
  <c r="Q35" l="1"/>
  <c r="P29"/>
  <c r="Q29"/>
  <c r="Q25"/>
  <c r="P12"/>
  <c r="P4"/>
  <c r="L5"/>
  <c r="Q4"/>
  <c r="M5"/>
  <c r="G87" i="11"/>
  <c r="G88"/>
  <c r="G96"/>
  <c r="G97"/>
  <c r="G86"/>
  <c r="G89"/>
  <c r="G95"/>
  <c r="G98"/>
  <c r="G73"/>
  <c r="G79"/>
  <c r="G80"/>
  <c r="G78"/>
  <c r="G81"/>
  <c r="E17"/>
  <c r="E6"/>
  <c r="E7"/>
  <c r="E8"/>
  <c r="K121"/>
  <c r="G63"/>
  <c r="G65"/>
  <c r="G64"/>
  <c r="G62"/>
  <c r="G57"/>
  <c r="G56"/>
  <c r="G55"/>
  <c r="H115"/>
  <c r="E24"/>
  <c r="E23"/>
  <c r="E25" s="1"/>
  <c r="F25"/>
  <c r="C25"/>
  <c r="F41"/>
  <c r="C41"/>
  <c r="E9"/>
  <c r="F9"/>
  <c r="C9"/>
  <c r="C6"/>
  <c r="K114"/>
  <c r="F106"/>
  <c r="L114"/>
  <c r="G105"/>
  <c r="G131"/>
  <c r="E131"/>
  <c r="C40"/>
  <c r="C39"/>
  <c r="G38"/>
  <c r="E38"/>
  <c r="C38"/>
  <c r="G8"/>
  <c r="C8"/>
  <c r="G7"/>
  <c r="C7"/>
  <c r="H114"/>
  <c r="H116" s="1"/>
  <c r="E40"/>
  <c r="E39"/>
  <c r="C105"/>
  <c r="C104"/>
  <c r="G104"/>
  <c r="Q22" i="10" l="1"/>
  <c r="P22"/>
  <c r="Q7"/>
  <c r="M121" i="11"/>
  <c r="M130" s="1"/>
  <c r="K128"/>
  <c r="G22"/>
  <c r="G24"/>
  <c r="G23"/>
  <c r="G9"/>
  <c r="G6"/>
  <c r="G41"/>
  <c r="G39"/>
  <c r="G40"/>
  <c r="G103"/>
  <c r="M114"/>
  <c r="Q15" i="10" l="1"/>
  <c r="P15"/>
  <c r="P7"/>
  <c r="Q19"/>
  <c r="P19"/>
  <c r="G25" i="11"/>
  <c r="C81" i="10" l="1"/>
  <c r="D81"/>
  <c r="B81"/>
  <c r="B41" l="1"/>
  <c r="D41"/>
  <c r="C41"/>
  <c r="B31"/>
  <c r="C31"/>
  <c r="D71"/>
  <c r="C71"/>
  <c r="B71" l="1"/>
  <c r="C61"/>
  <c r="C11"/>
  <c r="D61"/>
  <c r="D11"/>
  <c r="B61"/>
  <c r="B11"/>
  <c r="C93"/>
  <c r="B93"/>
  <c r="D93" l="1"/>
  <c r="P25"/>
  <c r="P55" s="1"/>
  <c r="O10" i="12"/>
  <c r="P10" s="1"/>
  <c r="P9" s="1"/>
  <c r="P52" s="1"/>
  <c r="O52"/>
  <c r="C13" i="15"/>
  <c r="D13"/>
  <c r="D12" s="1"/>
  <c r="D55" s="1"/>
  <c r="C12"/>
  <c r="Q12" i="10"/>
  <c r="Q55"/>
  <c r="BO13" i="15" l="1"/>
  <c r="BO12" s="1"/>
  <c r="BO55" s="1"/>
  <c r="BC13"/>
  <c r="BC12" s="1"/>
  <c r="BC55" s="1"/>
  <c r="BX13"/>
  <c r="BX12" s="1"/>
  <c r="BX55" s="1"/>
  <c r="BU13"/>
  <c r="BU12" s="1"/>
  <c r="BU55" s="1"/>
  <c r="AH13"/>
  <c r="AE13"/>
  <c r="BF13"/>
  <c r="G13"/>
  <c r="Q10" i="12"/>
  <c r="Q9" s="1"/>
  <c r="Q52" s="1"/>
  <c r="R55" s="1"/>
  <c r="R10"/>
  <c r="R9" s="1"/>
  <c r="R52" s="1"/>
  <c r="BF12" i="15"/>
  <c r="BF55" s="1"/>
  <c r="AK13"/>
  <c r="AN13"/>
  <c r="AQ13"/>
  <c r="AT13"/>
  <c r="AW13"/>
  <c r="AZ13"/>
  <c r="AG13" l="1"/>
  <c r="AG12" s="1"/>
  <c r="AG55" s="1"/>
  <c r="AE12"/>
  <c r="AE55" s="1"/>
  <c r="AJ13"/>
  <c r="AJ12" s="1"/>
  <c r="AJ55" s="1"/>
  <c r="AH12"/>
  <c r="AH55" s="1"/>
  <c r="G12"/>
  <c r="G55" s="1"/>
  <c r="C55"/>
  <c r="AZ12"/>
  <c r="AZ55" s="1"/>
  <c r="AW12"/>
  <c r="AW55" s="1"/>
  <c r="AT12"/>
  <c r="AT55" s="1"/>
  <c r="AQ12"/>
  <c r="AQ55" s="1"/>
  <c r="AN12"/>
  <c r="AN55" s="1"/>
  <c r="AK12"/>
  <c r="AK55" s="1"/>
</calcChain>
</file>

<file path=xl/comments1.xml><?xml version="1.0" encoding="utf-8"?>
<comments xmlns="http://schemas.openxmlformats.org/spreadsheetml/2006/main">
  <authors>
    <author>Автор</author>
  </authors>
  <commentList>
    <comment ref="B24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данные по справкам не сходятся
</t>
        </r>
      </text>
    </comment>
    <comment ref="B25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сходятся данные по справкам</t>
        </r>
      </text>
    </comment>
    <comment ref="B25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сходятся со справкой о численности по району
</t>
        </r>
      </text>
    </comment>
    <comment ref="B26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совпадают данные справок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данные по справкам не сходятся
</t>
        </r>
      </text>
    </comment>
    <comment ref="B3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сходятся данные по справкам</t>
        </r>
      </text>
    </comment>
    <comment ref="B4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сходятся со справкой о численности по району
</t>
        </r>
      </text>
    </comment>
    <comment ref="B5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совпадают данные справок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данные по справкам не сходятся
</t>
        </r>
      </text>
    </comment>
    <comment ref="B3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сходятся данные по справкам</t>
        </r>
      </text>
    </comment>
    <comment ref="B4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сходятся со справкой о численности по району
</t>
        </r>
      </text>
    </comment>
    <comment ref="B5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совпадают данные справок
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данные по справкам не сходятся
</t>
        </r>
      </text>
    </comment>
    <comment ref="B3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сходятся данные по справкам</t>
        </r>
      </text>
    </comment>
    <comment ref="B3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сходятся со справкой о численности по району
</t>
        </r>
      </text>
    </comment>
    <comment ref="B4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не совпадают данные справок
</t>
        </r>
      </text>
    </comment>
  </commentList>
</comments>
</file>

<file path=xl/sharedStrings.xml><?xml version="1.0" encoding="utf-8"?>
<sst xmlns="http://schemas.openxmlformats.org/spreadsheetml/2006/main" count="5059" uniqueCount="903">
  <si>
    <t>наименование сельсовета</t>
  </si>
  <si>
    <t>Наименование предприятия</t>
  </si>
  <si>
    <t>Наименование населенного пункта</t>
  </si>
  <si>
    <t>Основной вид деятельности</t>
  </si>
  <si>
    <t>Вид выпускаемой продукции</t>
  </si>
  <si>
    <t>Среднесписочная численность</t>
  </si>
  <si>
    <t>Наименование объекта соцкульбыта</t>
  </si>
  <si>
    <t>Здание Районной администрации</t>
  </si>
  <si>
    <t>Сельский ДК</t>
  </si>
  <si>
    <t>Нач школа</t>
  </si>
  <si>
    <t>Библиотека</t>
  </si>
  <si>
    <t>Д/сад</t>
  </si>
  <si>
    <t>Амбулатория</t>
  </si>
  <si>
    <t>Почтамт</t>
  </si>
  <si>
    <t>Магазин</t>
  </si>
  <si>
    <t>Сельский клуб</t>
  </si>
  <si>
    <t>ФАП</t>
  </si>
  <si>
    <t>Районный Краеведческий музей</t>
  </si>
  <si>
    <t>Стадион</t>
  </si>
  <si>
    <t>Аптека</t>
  </si>
  <si>
    <t>Дом быта</t>
  </si>
  <si>
    <t>Гостиница</t>
  </si>
  <si>
    <t>Предприятия общепита</t>
  </si>
  <si>
    <t>Пожарное депо /часть</t>
  </si>
  <si>
    <t>Спортзал</t>
  </si>
  <si>
    <t>Численность населения, чел</t>
  </si>
  <si>
    <t>Численность населения на 2011</t>
  </si>
  <si>
    <t>Кол-во семей</t>
  </si>
  <si>
    <t>Мужчины</t>
  </si>
  <si>
    <t>0-15 лет</t>
  </si>
  <si>
    <t>16-59 лет</t>
  </si>
  <si>
    <t>60 и более</t>
  </si>
  <si>
    <t>Итого мужчин</t>
  </si>
  <si>
    <t>Женщины</t>
  </si>
  <si>
    <t>16-54 лет</t>
  </si>
  <si>
    <t>55 и более</t>
  </si>
  <si>
    <t>Итого женщин</t>
  </si>
  <si>
    <t>КРС</t>
  </si>
  <si>
    <t>в том числе коровы</t>
  </si>
  <si>
    <t>овцы/козы</t>
  </si>
  <si>
    <t>свиньи</t>
  </si>
  <si>
    <t>лошади</t>
  </si>
  <si>
    <t>птица</t>
  </si>
  <si>
    <t>поголовье</t>
  </si>
  <si>
    <t>Наличие скота и птицы в сельхозпредприятиях</t>
  </si>
  <si>
    <t>Работающие</t>
  </si>
  <si>
    <t>Анашенский с/с</t>
  </si>
  <si>
    <t>Население 2011</t>
  </si>
  <si>
    <t>% от численности с/с</t>
  </si>
  <si>
    <t>Показатели</t>
  </si>
  <si>
    <t>Средние показатели за 3 года</t>
  </si>
  <si>
    <t xml:space="preserve">Численность населения </t>
  </si>
  <si>
    <t>на 01.2011г</t>
  </si>
  <si>
    <t>Рождаемость, чел</t>
  </si>
  <si>
    <t>Смертность, чел</t>
  </si>
  <si>
    <t>Прибыло, чел</t>
  </si>
  <si>
    <t>Выбыло, чел</t>
  </si>
  <si>
    <t>Естественный изменение</t>
  </si>
  <si>
    <t>Механический изменение</t>
  </si>
  <si>
    <t>Бараитский с/с</t>
  </si>
  <si>
    <t>Комский с/с</t>
  </si>
  <si>
    <t>Легостаевский с/с</t>
  </si>
  <si>
    <t>Численность населения</t>
  </si>
  <si>
    <t>Новоселовский с/с</t>
  </si>
  <si>
    <t>Светлолобовский с/с</t>
  </si>
  <si>
    <t>Толстомысенский с/с</t>
  </si>
  <si>
    <t>Чулымский с/с</t>
  </si>
  <si>
    <t>численность населения по полу и отдельным возрастным группам на 01.01.2011г.</t>
  </si>
  <si>
    <t>№№ п/п</t>
  </si>
  <si>
    <t>мужчины</t>
  </si>
  <si>
    <t>женщины</t>
  </si>
  <si>
    <t>итого</t>
  </si>
  <si>
    <t>% от общей численности населения</t>
  </si>
  <si>
    <t>Чел.</t>
  </si>
  <si>
    <t>%</t>
  </si>
  <si>
    <t>Младше трудоспособного возраста (до 15 лет)</t>
  </si>
  <si>
    <t>Трудоспособного возраста ( 15-59 лет для мужчин; 15-54 для женщин)</t>
  </si>
  <si>
    <t>Старше трудоспособного возраста ( от 60 лет для мужчин; от 55 лет для женщин)</t>
  </si>
  <si>
    <t>Итого по району:</t>
  </si>
  <si>
    <t>Сводная таблица по району</t>
  </si>
  <si>
    <t>Категории</t>
  </si>
  <si>
    <t>Итого население</t>
  </si>
  <si>
    <t>Год</t>
  </si>
  <si>
    <t>Младше трудоспособного возраста</t>
  </si>
  <si>
    <t>Старше трудоспособного возраста</t>
  </si>
  <si>
    <t>Коэффициент общей демографической нагрузки</t>
  </si>
  <si>
    <t>чел.</t>
  </si>
  <si>
    <t>% от общего числа мужчин</t>
  </si>
  <si>
    <t>% от общего числа женщин</t>
  </si>
  <si>
    <t>Работающее население</t>
  </si>
  <si>
    <t>Не работающее население</t>
  </si>
  <si>
    <t>Всего население</t>
  </si>
  <si>
    <t>C/c</t>
  </si>
  <si>
    <t>Количество семей</t>
  </si>
  <si>
    <t>Коэффициент семейственности</t>
  </si>
  <si>
    <t>Необходимая S строительства на 1 очередь, кв.м.</t>
  </si>
  <si>
    <t>Списание ЖФ на расч срок, кв.м.</t>
  </si>
  <si>
    <t>Число домов</t>
  </si>
  <si>
    <t>ЖФ Общая площадь, тыс. кв. м</t>
  </si>
  <si>
    <t>Кол-во домов</t>
  </si>
  <si>
    <r>
      <t>Обеспеченность жильем, м</t>
    </r>
    <r>
      <rPr>
        <vertAlign val="superscript"/>
        <sz val="10"/>
        <rFont val="Arial"/>
        <family val="2"/>
        <charset val="204"/>
      </rPr>
      <t xml:space="preserve">2 </t>
    </r>
    <r>
      <rPr>
        <sz val="10"/>
        <rFont val="Arial"/>
        <family val="2"/>
        <charset val="204"/>
      </rPr>
      <t>на 1 жителя</t>
    </r>
  </si>
  <si>
    <t>Износ свыше 70 %</t>
  </si>
  <si>
    <t>всего</t>
  </si>
  <si>
    <t>в том числе</t>
  </si>
  <si>
    <t>кирпич.</t>
  </si>
  <si>
    <t>деревян.</t>
  </si>
  <si>
    <r>
      <t>кирпичные, тыс м</t>
    </r>
    <r>
      <rPr>
        <vertAlign val="superscript"/>
        <sz val="11"/>
        <rFont val="Arial Narrow"/>
        <family val="2"/>
        <charset val="204"/>
      </rPr>
      <t>1</t>
    </r>
    <r>
      <rPr>
        <sz val="11"/>
        <color theme="1"/>
        <rFont val="Calibri"/>
        <family val="2"/>
        <charset val="204"/>
        <scheme val="minor"/>
      </rPr>
      <t/>
    </r>
  </si>
  <si>
    <t>деревянные</t>
  </si>
  <si>
    <t>из прочих материалов</t>
  </si>
  <si>
    <r>
      <t>1 этажное, тыс м</t>
    </r>
    <r>
      <rPr>
        <vertAlign val="superscript"/>
        <sz val="11"/>
        <rFont val="Arial Narrow"/>
        <family val="2"/>
        <charset val="204"/>
      </rPr>
      <t>1</t>
    </r>
    <r>
      <rPr>
        <sz val="11"/>
        <color theme="1"/>
        <rFont val="Calibri"/>
        <family val="2"/>
        <charset val="204"/>
        <scheme val="minor"/>
      </rPr>
      <t/>
    </r>
  </si>
  <si>
    <r>
      <t>2 этажное, тыс м</t>
    </r>
    <r>
      <rPr>
        <vertAlign val="superscript"/>
        <sz val="11"/>
        <rFont val="Arial Narrow"/>
        <family val="2"/>
        <charset val="204"/>
      </rPr>
      <t>2</t>
    </r>
  </si>
  <si>
    <t>многоэтажное, тыс кв м</t>
  </si>
  <si>
    <r>
      <t>в гос и муницип собственности, тыс м</t>
    </r>
    <r>
      <rPr>
        <vertAlign val="superscript"/>
        <sz val="11"/>
        <rFont val="Arial Narrow"/>
        <family val="2"/>
        <charset val="204"/>
      </rPr>
      <t>1</t>
    </r>
    <r>
      <rPr>
        <sz val="11"/>
        <color theme="1"/>
        <rFont val="Calibri"/>
        <family val="2"/>
        <charset val="204"/>
        <scheme val="minor"/>
      </rPr>
      <t/>
    </r>
  </si>
  <si>
    <r>
      <t>в частной собственности, тыс м</t>
    </r>
    <r>
      <rPr>
        <vertAlign val="superscript"/>
        <sz val="11"/>
        <rFont val="Arial Narrow"/>
        <family val="2"/>
        <charset val="204"/>
      </rPr>
      <t>2</t>
    </r>
  </si>
  <si>
    <t>бесхозный, тыс кв м</t>
  </si>
  <si>
    <t>домов</t>
  </si>
  <si>
    <t>квартир</t>
  </si>
  <si>
    <t>Богуславский</t>
  </si>
  <si>
    <t>Ивановский</t>
  </si>
  <si>
    <t>В-Рыбинский</t>
  </si>
  <si>
    <t>Имбежский</t>
  </si>
  <si>
    <t>Иннокентьевский</t>
  </si>
  <si>
    <t>Кожелакский</t>
  </si>
  <si>
    <t>Минский</t>
  </si>
  <si>
    <t>Партизанский</t>
  </si>
  <si>
    <t>Стойбинский</t>
  </si>
  <si>
    <t>№</t>
  </si>
  <si>
    <t>Дет.сад норматив 100 мест на 1000 жителей</t>
  </si>
  <si>
    <t>Общеобразовательная школа,норматив 180 мест на 1000 жителей</t>
  </si>
  <si>
    <t>Коррекционная школа-интернат, по заданию на проектирование</t>
  </si>
  <si>
    <t>ФАП, по заданию на проектирование, объект</t>
  </si>
  <si>
    <t>Приют для престрарелых,по заданию на проектирование, объект</t>
  </si>
  <si>
    <t>Санатории, базы отдыха,по заданию на проектирования, посет.мест</t>
  </si>
  <si>
    <t>Аптека, по заданию на проектирование, объект</t>
  </si>
  <si>
    <t>Открытые спортивные площадки, норматив 0.7 га на 1000 жителей</t>
  </si>
  <si>
    <t>Спортивные залы,норматив 80 м2 на 1000 жителей</t>
  </si>
  <si>
    <t>Дом быта, норматив 7 раб.мест на 1000 жителей</t>
  </si>
  <si>
    <t>Прачечная, норматив 60 кг белья в смену на 1000 жителей.</t>
  </si>
  <si>
    <t>Бани, норматив 7 мест на 1000 жителей</t>
  </si>
  <si>
    <t>Почтамт, объект</t>
  </si>
  <si>
    <t>Отделения сберегательного банка, норматив 1 окно на 1000 жителей</t>
  </si>
  <si>
    <t>Организации и учреждения управления, по заданию на проектирование, объект</t>
  </si>
  <si>
    <t>Кладбище традиционного захоронения, норматив 0.24 га на 1000 жителей</t>
  </si>
  <si>
    <t>потребуется мест</t>
  </si>
  <si>
    <t>дополнит. места</t>
  </si>
  <si>
    <t>ИТОГО по району</t>
  </si>
  <si>
    <t>Численность на 1 очередь</t>
  </si>
  <si>
    <t>Детские дошкольные учреждения</t>
  </si>
  <si>
    <t>Учреждения дополнительного образования</t>
  </si>
  <si>
    <t>Библиотеки</t>
  </si>
  <si>
    <t>Музеи</t>
  </si>
  <si>
    <t>Дома культуры (сельские клубы)</t>
  </si>
  <si>
    <t>Спортсооружения, из них:</t>
  </si>
  <si>
    <t>стадионы</t>
  </si>
  <si>
    <t>спортзалы</t>
  </si>
  <si>
    <t>Объекты здравоохранения</t>
  </si>
  <si>
    <t>больницы</t>
  </si>
  <si>
    <t>амбулаторно-поликлинические учреждения</t>
  </si>
  <si>
    <t>фельдшерско-акушерские пункты</t>
  </si>
  <si>
    <t>Социальные объекты</t>
  </si>
  <si>
    <t>Износ зданий. %</t>
  </si>
  <si>
    <t>до 35</t>
  </si>
  <si>
    <t>35-65</t>
  </si>
  <si>
    <t>свыше 65</t>
  </si>
  <si>
    <t>Детский дом</t>
  </si>
  <si>
    <t>Коррекционная школа</t>
  </si>
  <si>
    <t>Административные здания</t>
  </si>
  <si>
    <t>СОШ</t>
  </si>
  <si>
    <t>ЦРБ, участковая больница</t>
  </si>
  <si>
    <t>Предприятия общественного питания</t>
  </si>
  <si>
    <t>Гостиницы</t>
  </si>
  <si>
    <t>Магазины</t>
  </si>
  <si>
    <t>Отрасль, наименование предприятий и организаций</t>
  </si>
  <si>
    <t>Количество работающих человек</t>
  </si>
  <si>
    <t>Доля от всего  трудоспособного населения, %</t>
  </si>
  <si>
    <t>Доля от всего населения, %</t>
  </si>
  <si>
    <t>Школы и детские учреждения, ПУ, СТПУ, ПТУ и т.д. (РОНО)</t>
  </si>
  <si>
    <t>Здравоохранение (ЦРБ, аптеки, ФАПы)</t>
  </si>
  <si>
    <t>Культурно-просветительные учреждения (д/к,, музыкальные школы и т.д.)</t>
  </si>
  <si>
    <t>Торговля, общепит (столовые, магазины)</t>
  </si>
  <si>
    <t>Лесничество</t>
  </si>
  <si>
    <t>Сельскохозяйственные учреждения (инспекции, ветеринария, управление с/х)</t>
  </si>
  <si>
    <t>Строительство</t>
  </si>
  <si>
    <t>Органы социальной защиты</t>
  </si>
  <si>
    <t>Промышленность:</t>
  </si>
  <si>
    <t>- добывающая</t>
  </si>
  <si>
    <t>- лесная и деревообрабатывающая</t>
  </si>
  <si>
    <t>- пищевая</t>
  </si>
  <si>
    <t>Противопожарная служба</t>
  </si>
  <si>
    <t>Сельскохозяйственные предприятия</t>
  </si>
  <si>
    <t>Транспорт и связь (почта)</t>
  </si>
  <si>
    <t>Прочие организации</t>
  </si>
  <si>
    <t>Комплексно-бытовое обслуживание</t>
  </si>
  <si>
    <t>Энергетика (РЭС, энергосбыт)</t>
  </si>
  <si>
    <t>Хранение и реализация ГСЭМ</t>
  </si>
  <si>
    <t>Индивидуальные предприниматели без права образования юридического лица</t>
  </si>
  <si>
    <t>ИТОГО:</t>
  </si>
  <si>
    <t>ЖКХ (МПП ЖКХ, служба заказчика, газовый) теплоснабжение</t>
  </si>
  <si>
    <t xml:space="preserve"> кредитно финансовые учреждения</t>
  </si>
  <si>
    <t>Административный и общественные организации (администрация района, профсоюзы, суд. Налог. Органы, и др. учреждения)</t>
  </si>
  <si>
    <t>Объект</t>
  </si>
  <si>
    <t>Год постройки</t>
  </si>
  <si>
    <t>Износ</t>
  </si>
  <si>
    <t>Мощность проектная</t>
  </si>
  <si>
    <t>Мощность факт</t>
  </si>
  <si>
    <t>Кол-во работающих</t>
  </si>
  <si>
    <t>ед.изм</t>
  </si>
  <si>
    <t>Кол-во на 2010 год</t>
  </si>
  <si>
    <t>Износ до 35 %</t>
  </si>
  <si>
    <t>от 35 до 65%</t>
  </si>
  <si>
    <t>свыше 65%</t>
  </si>
  <si>
    <t xml:space="preserve">Школы </t>
  </si>
  <si>
    <t>Сельсовет</t>
  </si>
  <si>
    <t>Детский юношеский центр</t>
  </si>
  <si>
    <t>Дома культуры (клубы)</t>
  </si>
  <si>
    <t>ДК</t>
  </si>
  <si>
    <t>станции скорой помощи</t>
  </si>
  <si>
    <t>поликлиники</t>
  </si>
  <si>
    <t>Узел связи</t>
  </si>
  <si>
    <t>амбулаторные  учреждения</t>
  </si>
  <si>
    <t>аптеки</t>
  </si>
  <si>
    <t>Узел связи, почтамт</t>
  </si>
  <si>
    <t>Филиалы сбербанка</t>
  </si>
  <si>
    <t>Магазины (6 ед)</t>
  </si>
  <si>
    <t>единиц</t>
  </si>
  <si>
    <t>д.Покровка</t>
  </si>
  <si>
    <t>д.Усть-Чульск</t>
  </si>
  <si>
    <t>Всего по сельсоветам:</t>
  </si>
  <si>
    <t>Численность населения на начало года, чел</t>
  </si>
  <si>
    <t>в том числе свыше 80%, тыс. кв. м.</t>
  </si>
  <si>
    <t>Наим.сельсоветов</t>
  </si>
  <si>
    <t>водопроводом</t>
  </si>
  <si>
    <t xml:space="preserve">канализация </t>
  </si>
  <si>
    <t>теплом</t>
  </si>
  <si>
    <t>централизованное водоснабжение(горячей водой)</t>
  </si>
  <si>
    <t>эл/плитами</t>
  </si>
  <si>
    <t>газовыми плитами</t>
  </si>
  <si>
    <t>централизованная</t>
  </si>
  <si>
    <t>в выгреба</t>
  </si>
  <si>
    <t>централизованное</t>
  </si>
  <si>
    <t>автономное</t>
  </si>
  <si>
    <t>Всего квартир</t>
  </si>
  <si>
    <t>Обеспеченность жилого фонда от общего жилищного фонда, квартир</t>
  </si>
  <si>
    <t>Обеспеченность жилого фонда от общего жилищного фонда, домов</t>
  </si>
  <si>
    <t>Ветеринарный участок</t>
  </si>
  <si>
    <t>зерно</t>
  </si>
  <si>
    <t>ДШИ</t>
  </si>
  <si>
    <t>централизованное водоснабжение(гор. водой)</t>
  </si>
  <si>
    <t>Наим.насел пунктов</t>
  </si>
  <si>
    <t>Всего домов/кв.</t>
  </si>
  <si>
    <t>централиз.</t>
  </si>
  <si>
    <t>ЖФ Общая площадь,  кв. м</t>
  </si>
  <si>
    <t>ЖФ Общая площадь, кв. м</t>
  </si>
  <si>
    <t>Общая по району</t>
  </si>
  <si>
    <t>Айтатский сельсовет</t>
  </si>
  <si>
    <t>с.Айтат</t>
  </si>
  <si>
    <t>д.Малый Кантат</t>
  </si>
  <si>
    <t>Бартатский сельсовет</t>
  </si>
  <si>
    <t>с.Бартат</t>
  </si>
  <si>
    <t xml:space="preserve">д.Верх-Подъемная </t>
  </si>
  <si>
    <t>д.Тигино</t>
  </si>
  <si>
    <t>Верх-Казанский сельсовет</t>
  </si>
  <si>
    <t>с.Верх-Казанка</t>
  </si>
  <si>
    <t>д.Казанка</t>
  </si>
  <si>
    <t>Еловский сельсовет</t>
  </si>
  <si>
    <t>с.Еловка</t>
  </si>
  <si>
    <t>д.Бузуново</t>
  </si>
  <si>
    <t>Ентаульский сельсовет</t>
  </si>
  <si>
    <t>п.Красные Ключи</t>
  </si>
  <si>
    <t>с.Ентауль</t>
  </si>
  <si>
    <t>д.Михайловка</t>
  </si>
  <si>
    <t>Межовский сельсовет</t>
  </si>
  <si>
    <t>с.Межово</t>
  </si>
  <si>
    <t>д.Верхобродово</t>
  </si>
  <si>
    <t>д.Лакино</t>
  </si>
  <si>
    <t>д.Мостовское</t>
  </si>
  <si>
    <t>д.Хмелево</t>
  </si>
  <si>
    <t>Раздольненский сельсовет</t>
  </si>
  <si>
    <t>п.Раздольное</t>
  </si>
  <si>
    <t>п.Луговское</t>
  </si>
  <si>
    <t>д.Орловка</t>
  </si>
  <si>
    <t>д.Черняевка</t>
  </si>
  <si>
    <t>п.Язаевка</t>
  </si>
  <si>
    <t>Российский сельсовет</t>
  </si>
  <si>
    <t>с.Российка</t>
  </si>
  <si>
    <t>д.Большой Кантат</t>
  </si>
  <si>
    <t>д.Минск</t>
  </si>
  <si>
    <t>д.Пристань</t>
  </si>
  <si>
    <t>Таловский сельсовет</t>
  </si>
  <si>
    <t>с.Таловка</t>
  </si>
  <si>
    <t>д.Малороссийка</t>
  </si>
  <si>
    <t>д.Муратово</t>
  </si>
  <si>
    <t>Юксеевский сельсовет</t>
  </si>
  <si>
    <t>с.Юксеево</t>
  </si>
  <si>
    <t>д.Береговая-Подъемная</t>
  </si>
  <si>
    <t>д.Комарово</t>
  </si>
  <si>
    <t>д.Пакуль</t>
  </si>
  <si>
    <t xml:space="preserve"> </t>
  </si>
  <si>
    <t>127 км по р.Енисей</t>
  </si>
  <si>
    <t>п.Предивинск</t>
  </si>
  <si>
    <t>д.Троицкое</t>
  </si>
  <si>
    <t>д.К-Демьяновка</t>
  </si>
  <si>
    <t>пгт.Большая Мурта</t>
  </si>
  <si>
    <t>СПК "Память Ленина"</t>
  </si>
  <si>
    <t>зерно, молоко, мясо</t>
  </si>
  <si>
    <t>СПК "Родина"</t>
  </si>
  <si>
    <t xml:space="preserve">зерно </t>
  </si>
  <si>
    <t>ООО "Объединение Агроэлита"</t>
  </si>
  <si>
    <t>ИП Краскович Л.К.</t>
  </si>
  <si>
    <t>ИП Горбунов В.А.</t>
  </si>
  <si>
    <t>ИП Нарутто В.В.</t>
  </si>
  <si>
    <t>ИП Украинский В.С.</t>
  </si>
  <si>
    <t>ИП Добрынин В.В.</t>
  </si>
  <si>
    <t>ИП Яковлев В.В.</t>
  </si>
  <si>
    <t>ИП Отап В.В.</t>
  </si>
  <si>
    <t>ИП Горников А.Н.</t>
  </si>
  <si>
    <t>ИП Прохоренко Ю.В.</t>
  </si>
  <si>
    <t>ИП Пискунов Н.П.</t>
  </si>
  <si>
    <t>молоко, мясо</t>
  </si>
  <si>
    <t>ИП Алексеева Т.А.</t>
  </si>
  <si>
    <t>ИП Гербер А.И.</t>
  </si>
  <si>
    <t>овцы, птица</t>
  </si>
  <si>
    <t>ООО "Данако"</t>
  </si>
  <si>
    <t>растениеводство</t>
  </si>
  <si>
    <t xml:space="preserve"> животноводство</t>
  </si>
  <si>
    <t xml:space="preserve"> мясо</t>
  </si>
  <si>
    <t>СПК "Колос" (Бартатское отделение)</t>
  </si>
  <si>
    <t>СПК "Юбилейный" (отделение)</t>
  </si>
  <si>
    <t>СПК "Рассвет" (пакульское отделение)</t>
  </si>
  <si>
    <t>животноводство</t>
  </si>
  <si>
    <t xml:space="preserve"> молоко, мясо</t>
  </si>
  <si>
    <t>Валовой выпуск продукции, тыс.руб.</t>
  </si>
  <si>
    <t>Мощность предприятия по осн продукции, т</t>
  </si>
  <si>
    <t>164/8</t>
  </si>
  <si>
    <t>81/15</t>
  </si>
  <si>
    <t>238/22</t>
  </si>
  <si>
    <t>продукция по 2 отделениям вместе</t>
  </si>
  <si>
    <t>2174/192</t>
  </si>
  <si>
    <t>57/2</t>
  </si>
  <si>
    <t>Кладбище</t>
  </si>
  <si>
    <t>Кладбище, га</t>
  </si>
  <si>
    <t>60 посад мест</t>
  </si>
  <si>
    <t>150 посад мест</t>
  </si>
  <si>
    <t>4 га</t>
  </si>
  <si>
    <t>8253/12 (в здании клуба)</t>
  </si>
  <si>
    <t xml:space="preserve">ИП Яковлев </t>
  </si>
  <si>
    <t>узел связи</t>
  </si>
  <si>
    <t>операц окно сберкассы</t>
  </si>
  <si>
    <t>Операц окно сберкассы</t>
  </si>
  <si>
    <t>50 посад мест</t>
  </si>
  <si>
    <t>8500/12</t>
  </si>
  <si>
    <t>ООШ</t>
  </si>
  <si>
    <t>Магазины (3 ед.)</t>
  </si>
  <si>
    <t>Магазины (2 ед.)</t>
  </si>
  <si>
    <t>Администрация</t>
  </si>
  <si>
    <t>Пожарная часть</t>
  </si>
  <si>
    <t>10 га</t>
  </si>
  <si>
    <t>1,5 га</t>
  </si>
  <si>
    <t>1 га</t>
  </si>
  <si>
    <t>Здание с/с, администрации</t>
  </si>
  <si>
    <t>250 посад мест</t>
  </si>
  <si>
    <t>аренда помещ у д/с</t>
  </si>
  <si>
    <t>Магазины (4 ед)</t>
  </si>
  <si>
    <t>Ветучасток</t>
  </si>
  <si>
    <t>Магазины (5 ед.)</t>
  </si>
  <si>
    <t>8662/10</t>
  </si>
  <si>
    <t>6899/10</t>
  </si>
  <si>
    <t>По материалу стен</t>
  </si>
  <si>
    <t>По году возведения</t>
  </si>
  <si>
    <t>каменные/кирпичные</t>
  </si>
  <si>
    <t>Панельные</t>
  </si>
  <si>
    <t>Блочные</t>
  </si>
  <si>
    <t>Деревянные</t>
  </si>
  <si>
    <t>до 1920</t>
  </si>
  <si>
    <t>1921-1945</t>
  </si>
  <si>
    <t>1946-1970</t>
  </si>
  <si>
    <t>1971-1995</t>
  </si>
  <si>
    <t>после 1995</t>
  </si>
  <si>
    <t>Общая площадь, тыс. кв.м.</t>
  </si>
  <si>
    <t>Число жилых домов, ед.</t>
  </si>
  <si>
    <t>Число многоквартирных жилых домов, ед.</t>
  </si>
  <si>
    <t>по проценту износа</t>
  </si>
  <si>
    <t>от 0-30%</t>
  </si>
  <si>
    <t>от 31-65%</t>
  </si>
  <si>
    <t>от 66-70%</t>
  </si>
  <si>
    <t>свыше 70%</t>
  </si>
  <si>
    <t>Распределение ЖФ</t>
  </si>
  <si>
    <t>Ветхий и аварийный ЖФ</t>
  </si>
  <si>
    <t>Общая площадь жилых помещений, тыс.кв.м.</t>
  </si>
  <si>
    <t>из нее</t>
  </si>
  <si>
    <t>в жилых домах</t>
  </si>
  <si>
    <t>в многоквартирных жилых домах</t>
  </si>
  <si>
    <t>в общежитиях</t>
  </si>
  <si>
    <t>Число жилых домов</t>
  </si>
  <si>
    <t>Число многоквартирных жилых домов</t>
  </si>
  <si>
    <t>Число проживающих</t>
  </si>
  <si>
    <t>из них</t>
  </si>
  <si>
    <t xml:space="preserve">ветхий </t>
  </si>
  <si>
    <t>аварийный</t>
  </si>
  <si>
    <t>Общая площадь жилых помещений 190,4 тыс.кв.м.</t>
  </si>
  <si>
    <t>площадь многоквартирных жилых домов 66 тыс.кв.м., домов 583</t>
  </si>
  <si>
    <t>ДЮСШ, ДШИ</t>
  </si>
  <si>
    <t>Администрация района</t>
  </si>
  <si>
    <t>Д/сад 1</t>
  </si>
  <si>
    <t>Д/сад 2</t>
  </si>
  <si>
    <t>Д/сад 3</t>
  </si>
  <si>
    <t>СОШ 1</t>
  </si>
  <si>
    <t>СОШ 2</t>
  </si>
  <si>
    <t>СОШ 3</t>
  </si>
  <si>
    <t>ДЮСШ</t>
  </si>
  <si>
    <t>Дом детского творчества</t>
  </si>
  <si>
    <t>Музей</t>
  </si>
  <si>
    <t>ЦРБ</t>
  </si>
  <si>
    <t>Станция скорой помощи</t>
  </si>
  <si>
    <t>Магазины (33 ед)</t>
  </si>
  <si>
    <t>2724 посещ</t>
  </si>
  <si>
    <t>9 окон</t>
  </si>
  <si>
    <t>57486/50</t>
  </si>
  <si>
    <t>5 раб мест</t>
  </si>
  <si>
    <t>15коек 50 посещ в смену</t>
  </si>
  <si>
    <t>200 посад мест</t>
  </si>
  <si>
    <t>Ветеринарный пункт</t>
  </si>
  <si>
    <t>Магазины (2 ед)</t>
  </si>
  <si>
    <t>3/260</t>
  </si>
  <si>
    <t>База отдыха ОАО "Сибтяжмаш" (Урочище Старое Предивное)</t>
  </si>
  <si>
    <t>пчелосемьи</t>
  </si>
  <si>
    <t>др</t>
  </si>
  <si>
    <t>Наличие скота и птицы в ЛПХ</t>
  </si>
  <si>
    <t>64 посад места</t>
  </si>
  <si>
    <t>7800/15</t>
  </si>
  <si>
    <t>кап ремонт</t>
  </si>
  <si>
    <t>148,7 кв м</t>
  </si>
  <si>
    <t>Пожарная часть 128</t>
  </si>
  <si>
    <t>25мест</t>
  </si>
  <si>
    <t>СДК</t>
  </si>
  <si>
    <t>7884/10</t>
  </si>
  <si>
    <t xml:space="preserve">162 кв м </t>
  </si>
  <si>
    <t>в школе</t>
  </si>
  <si>
    <t>СК</t>
  </si>
  <si>
    <t>4978/10</t>
  </si>
  <si>
    <t>60*30</t>
  </si>
  <si>
    <t>1 окно</t>
  </si>
  <si>
    <t>0,7 га</t>
  </si>
  <si>
    <t>20 посад мест</t>
  </si>
  <si>
    <t>35 мест</t>
  </si>
  <si>
    <t>0,6 га</t>
  </si>
  <si>
    <t>Магазин (1ед)</t>
  </si>
  <si>
    <t>8293/30</t>
  </si>
  <si>
    <t>снос здания</t>
  </si>
  <si>
    <t>в здании клуба</t>
  </si>
  <si>
    <t>в здании ДК</t>
  </si>
  <si>
    <t>Магазины (5 ед)</t>
  </si>
  <si>
    <t>пекарня</t>
  </si>
  <si>
    <t>в тыс.кв.м.</t>
  </si>
  <si>
    <t>Б-Муртинское ПО "Хлебокомбинат"</t>
  </si>
  <si>
    <t>Пекарня</t>
  </si>
  <si>
    <t>Хлеб 1 сорта</t>
  </si>
  <si>
    <t>Хлеб 2 сорта</t>
  </si>
  <si>
    <t>Аптека (3 ед)</t>
  </si>
  <si>
    <t>Предприятия общественного питания (3 ед.)</t>
  </si>
  <si>
    <t>Парикмахерская (2 ед.)</t>
  </si>
  <si>
    <t>4 раб места</t>
  </si>
  <si>
    <t>Мастерская по ремонту обуви</t>
  </si>
  <si>
    <t>Автосервис и автомойка (по 2 ед.)</t>
  </si>
  <si>
    <t>Городская больница</t>
  </si>
  <si>
    <t>НЕТ?</t>
  </si>
  <si>
    <t>Магазины (3 ед)</t>
  </si>
  <si>
    <t>2,5 га</t>
  </si>
  <si>
    <t>2 га</t>
  </si>
  <si>
    <t>общая площадь, тыс. кв. м.</t>
  </si>
  <si>
    <t>в %</t>
  </si>
  <si>
    <t>в интернате</t>
  </si>
  <si>
    <t>разрушен</t>
  </si>
  <si>
    <t>в здании д/сада</t>
  </si>
  <si>
    <t>2 в здании д/сада, 1 отдельностоящее</t>
  </si>
  <si>
    <t>ООО "Барта"</t>
  </si>
  <si>
    <t>Молочный цех</t>
  </si>
  <si>
    <t>сметана</t>
  </si>
  <si>
    <t>творог</t>
  </si>
  <si>
    <t>масло сливочное</t>
  </si>
  <si>
    <t>молоко пастериз</t>
  </si>
  <si>
    <t>5 га</t>
  </si>
  <si>
    <t>2 раб мест</t>
  </si>
  <si>
    <t>узел связи в этом же здании</t>
  </si>
  <si>
    <t>13000/18 пристройка в ДК</t>
  </si>
  <si>
    <t>ИЛИ в ЛПХ</t>
  </si>
  <si>
    <t>778 кв.м.</t>
  </si>
  <si>
    <t>450 кв.м.</t>
  </si>
  <si>
    <t>1593,17 кв.м</t>
  </si>
  <si>
    <t>ОПС</t>
  </si>
  <si>
    <t>162 кв м (в школе)</t>
  </si>
  <si>
    <t xml:space="preserve">1,4 га </t>
  </si>
  <si>
    <t>Кладбище (2 об.)</t>
  </si>
  <si>
    <t>1 объект</t>
  </si>
  <si>
    <t>7,5 га</t>
  </si>
  <si>
    <t>5,66 га</t>
  </si>
  <si>
    <t>6137/25 в здании СДК</t>
  </si>
  <si>
    <t>в здании  СК</t>
  </si>
  <si>
    <t>406 кв.м.</t>
  </si>
  <si>
    <t>9266/8</t>
  </si>
  <si>
    <t>?</t>
  </si>
  <si>
    <t>нет</t>
  </si>
  <si>
    <t>0,5 га</t>
  </si>
  <si>
    <t>Интернат филиала Раздольненская школа</t>
  </si>
  <si>
    <t>25</t>
  </si>
  <si>
    <t>320</t>
  </si>
  <si>
    <t>Начальная школа</t>
  </si>
  <si>
    <t>Наименование c/c</t>
  </si>
  <si>
    <t>по-своему</t>
  </si>
  <si>
    <t>с.К-Демьяновка</t>
  </si>
  <si>
    <t xml:space="preserve">В Схеме территориального планирования Красноярского края проектная численность населения Большемуртинского района составляет 13,7 тыс.чел. на  расчетный срок. Необходимо согласовать увеличение проектной численности населения на 1158  человек (8,45%) . </t>
  </si>
  <si>
    <t>Население на 1 очередь (2021г), чел.</t>
  </si>
  <si>
    <t>Население на расчетный срок (2031г), чел.</t>
  </si>
  <si>
    <t>Население на начало 2011г, чел.</t>
  </si>
  <si>
    <t>Бмурта</t>
  </si>
  <si>
    <t>Предивинск</t>
  </si>
  <si>
    <t>Айтатский</t>
  </si>
  <si>
    <t>Бартатский</t>
  </si>
  <si>
    <t>Верх-Казанский</t>
  </si>
  <si>
    <t>Еловский</t>
  </si>
  <si>
    <t>Ентаульский</t>
  </si>
  <si>
    <t>Межовский</t>
  </si>
  <si>
    <t>Раздольненский</t>
  </si>
  <si>
    <t>Российский</t>
  </si>
  <si>
    <t>Таловский</t>
  </si>
  <si>
    <t>Юксеевский</t>
  </si>
  <si>
    <t>Рождаемость</t>
  </si>
  <si>
    <t>Смертность</t>
  </si>
  <si>
    <t>Прибыло</t>
  </si>
  <si>
    <t>Выбыло</t>
  </si>
  <si>
    <t>Численность на начало года</t>
  </si>
  <si>
    <t>Численность на конец года</t>
  </si>
  <si>
    <t>Естественный прирост</t>
  </si>
  <si>
    <t>Механическое движение</t>
  </si>
  <si>
    <t>Численность на начало 2011 года</t>
  </si>
  <si>
    <t>Всего</t>
  </si>
  <si>
    <t>Средние значения за три года</t>
  </si>
  <si>
    <t>до 15</t>
  </si>
  <si>
    <t>трудоспособные</t>
  </si>
  <si>
    <t>старше трудоспособного</t>
  </si>
  <si>
    <t>Коэффициент семейности</t>
  </si>
  <si>
    <t xml:space="preserve">Администрация </t>
  </si>
  <si>
    <t>Учреждения образования</t>
  </si>
  <si>
    <t>Учреждения культуры</t>
  </si>
  <si>
    <t>Козьмо-Демьяновка</t>
  </si>
  <si>
    <t>Межпоселенческий ДК</t>
  </si>
  <si>
    <t>Айтатский с/с</t>
  </si>
  <si>
    <t>Бартатский с/с</t>
  </si>
  <si>
    <t>В-Казанский с/с</t>
  </si>
  <si>
    <t>Еловский с/с</t>
  </si>
  <si>
    <t>Ентаульский с/с</t>
  </si>
  <si>
    <t>Межовский с/с</t>
  </si>
  <si>
    <t>Радольненский с/с</t>
  </si>
  <si>
    <t>Российский с/с</t>
  </si>
  <si>
    <t>Таловский с/с</t>
  </si>
  <si>
    <t>Юксеевский с/с</t>
  </si>
  <si>
    <t>Раздольненский с/с</t>
  </si>
  <si>
    <t>Наименование</t>
  </si>
  <si>
    <t>31</t>
  </si>
  <si>
    <t>филиал Российской СОШ</t>
  </si>
  <si>
    <t>филиал Таловской СОШ</t>
  </si>
  <si>
    <t>ФАПы</t>
  </si>
  <si>
    <t>аренда здания</t>
  </si>
  <si>
    <t>Врачебная амбулатория</t>
  </si>
  <si>
    <t>12</t>
  </si>
  <si>
    <t>6</t>
  </si>
  <si>
    <t>19</t>
  </si>
  <si>
    <t>Большой Кантат</t>
  </si>
  <si>
    <t>Еловка</t>
  </si>
  <si>
    <t>Сельское хозяйство, охота и лесное хозяйство</t>
  </si>
  <si>
    <t>Обрабатывающие производства</t>
  </si>
  <si>
    <t>Производство и распределение электроэнергии, газа и воды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</si>
  <si>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</si>
  <si>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Гостиницы и рестораны</t>
  </si>
  <si>
    <t>Транспорт и связь</t>
  </si>
  <si>
    <t>Финансовая деятельность</t>
  </si>
  <si>
    <t>Операции с недвижимым имуществом, аренда и предоставление услуг</t>
  </si>
  <si>
    <t>Государственное управление и обеспечение военной безопасности; социальное страхование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</si>
  <si>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</si>
  <si>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</si>
  <si>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и персональных услуг</t>
  </si>
  <si>
    <t>Наименование показателей</t>
  </si>
  <si>
    <t>Среднемесячная з/пл  работников организаций, руб.</t>
  </si>
  <si>
    <t>В среднем по району:</t>
  </si>
  <si>
    <t>ИП Гузей - поставщик муки</t>
  </si>
  <si>
    <t>д.Верхобродово, д.Лакино</t>
  </si>
  <si>
    <t>Сельский совет и наименование предприятия</t>
  </si>
  <si>
    <t>Ед. измерения</t>
  </si>
  <si>
    <t>Проект на 1 очередь, 2021г</t>
  </si>
  <si>
    <t>Существующее</t>
  </si>
  <si>
    <t>гол</t>
  </si>
  <si>
    <t>объемы производства молока</t>
  </si>
  <si>
    <t>тонн</t>
  </si>
  <si>
    <t>объемы производства мяса</t>
  </si>
  <si>
    <t>Существующее состояние, 2008г</t>
  </si>
  <si>
    <t>Проект на 1 очередь, 2018г</t>
  </si>
  <si>
    <t>Потребное количество работников, человек</t>
  </si>
  <si>
    <t>Проект на расчетный срок, 2028г</t>
  </si>
  <si>
    <t>с. Бартат</t>
  </si>
  <si>
    <t>в т.ч. коровы</t>
  </si>
  <si>
    <t>д. Тигино</t>
  </si>
  <si>
    <t>объем производства молока</t>
  </si>
  <si>
    <t>с. Межово</t>
  </si>
  <si>
    <t xml:space="preserve">КРС </t>
  </si>
  <si>
    <t xml:space="preserve">свиньи </t>
  </si>
  <si>
    <t>д. Лакино</t>
  </si>
  <si>
    <t>СПК "Юбилейный"</t>
  </si>
  <si>
    <t>с. Российка</t>
  </si>
  <si>
    <t>СПК "Рассвет"</t>
  </si>
  <si>
    <t>ИТОГО ПО РАЙОНУ</t>
  </si>
  <si>
    <t>Потребное количество работников</t>
  </si>
  <si>
    <t>МО п. Большая Мурта</t>
  </si>
  <si>
    <t>зерновые</t>
  </si>
  <si>
    <t>га</t>
  </si>
  <si>
    <t>урожайность</t>
  </si>
  <si>
    <t>ц/га</t>
  </si>
  <si>
    <t>объемы производства</t>
  </si>
  <si>
    <t>цн.</t>
  </si>
  <si>
    <t>д. Малый Кантат</t>
  </si>
  <si>
    <t>с. Еловка</t>
  </si>
  <si>
    <t>с. Ентауль</t>
  </si>
  <si>
    <t>д. Михайловка</t>
  </si>
  <si>
    <t>п. Раздольное</t>
  </si>
  <si>
    <t>с. Таловка</t>
  </si>
  <si>
    <t>д. Пакуль</t>
  </si>
  <si>
    <t>д. Комарово</t>
  </si>
  <si>
    <t>Существующее состояние, 2010г</t>
  </si>
  <si>
    <t>Проект на расчетный срок,  2031г</t>
  </si>
  <si>
    <t>СПК "Колос" (с.Бартат)</t>
  </si>
  <si>
    <t>ИП Краскович Л.К. (д.Тигино)</t>
  </si>
  <si>
    <t>ИП Горбунов В.А. (д.Ентауль)</t>
  </si>
  <si>
    <t>СПК "Память Ленина" (с.Межово)</t>
  </si>
  <si>
    <t>СПК "Юбилейный" (д.Лакино)</t>
  </si>
  <si>
    <t>СПК "Юбилейный" (д.Верхобродово)</t>
  </si>
  <si>
    <t>ИТОГО по СПК "Юбилейный"</t>
  </si>
  <si>
    <t>3.1</t>
  </si>
  <si>
    <t>3.2</t>
  </si>
  <si>
    <t>ООО "Данако" (д.Минск)</t>
  </si>
  <si>
    <t>ИП Нарутто В.В. (с.Таловка)</t>
  </si>
  <si>
    <t>СПК "Рассвет" (д.Пакуль)</t>
  </si>
  <si>
    <t>объем производства мяса</t>
  </si>
  <si>
    <t>нет данных</t>
  </si>
  <si>
    <t>говядина</t>
  </si>
  <si>
    <t>свинина</t>
  </si>
  <si>
    <t>конина</t>
  </si>
  <si>
    <t>ИТОГО</t>
  </si>
  <si>
    <t>Лошади</t>
  </si>
  <si>
    <t>- в т.ч. коровы</t>
  </si>
  <si>
    <t>недостаточно данных</t>
  </si>
  <si>
    <t>Наименование населенных пунктов</t>
  </si>
  <si>
    <t xml:space="preserve">Численность населения на 01.01.2007 г. </t>
  </si>
  <si>
    <t>д/с</t>
  </si>
  <si>
    <t xml:space="preserve"> общеобразовательные школы</t>
  </si>
  <si>
    <t>детская школа искусств</t>
  </si>
  <si>
    <t>Центр детского творчества</t>
  </si>
  <si>
    <t>Сельская амбулатория</t>
  </si>
  <si>
    <t>дом культуры</t>
  </si>
  <si>
    <t>библиотеки</t>
  </si>
  <si>
    <t>стадион</t>
  </si>
  <si>
    <t>музей</t>
  </si>
  <si>
    <t>магазин</t>
  </si>
  <si>
    <t>предприятие общественного питания</t>
  </si>
  <si>
    <t>отделение связи</t>
  </si>
  <si>
    <t>отделение Сбербанка (операц. окно)</t>
  </si>
  <si>
    <t>баня (прачечные)</t>
  </si>
  <si>
    <t>гостиница</t>
  </si>
  <si>
    <t>пожарное депо</t>
  </si>
  <si>
    <t>административный центр района</t>
  </si>
  <si>
    <t>административный центр сельсовета</t>
  </si>
  <si>
    <t>ЖЭО</t>
  </si>
  <si>
    <t>детский оздоровительный лагерь</t>
  </si>
  <si>
    <t>Детский дом инвалидов</t>
  </si>
  <si>
    <t>Реабилитационный центр</t>
  </si>
  <si>
    <t>Пансионат для престарелых</t>
  </si>
  <si>
    <t>База отдых "Енисей"</t>
  </si>
  <si>
    <t>база отдых ОАО "Сибтяжмаш" урочище "Старое Предивное"</t>
  </si>
  <si>
    <t>вместимость</t>
  </si>
  <si>
    <t>факт</t>
  </si>
  <si>
    <t>объект</t>
  </si>
  <si>
    <t>кол-во коек</t>
  </si>
  <si>
    <t>пролечено больных за год</t>
  </si>
  <si>
    <t>посещений в год</t>
  </si>
  <si>
    <t>посещений в смену</t>
  </si>
  <si>
    <t>кол-во посещений, факт</t>
  </si>
  <si>
    <t>кол-во посещений, согласно СанПиН 2003 г</t>
  </si>
  <si>
    <t>кол-во посещений за год</t>
  </si>
  <si>
    <t>проектный книжный фонд,  экз.</t>
  </si>
  <si>
    <t xml:space="preserve">объект </t>
  </si>
  <si>
    <t>пгт. Большая Мурта</t>
  </si>
  <si>
    <t>МО п. Предивинск</t>
  </si>
  <si>
    <t>рп. Предивинск</t>
  </si>
  <si>
    <t>с. Козьмо-Демьяновка</t>
  </si>
  <si>
    <t>д. Покровка</t>
  </si>
  <si>
    <t>д. Троицкое</t>
  </si>
  <si>
    <t>с. Айтат</t>
  </si>
  <si>
    <t>д. Верх-Подъемная</t>
  </si>
  <si>
    <t>д. Тингино</t>
  </si>
  <si>
    <t>с. Верх-Казанка</t>
  </si>
  <si>
    <t>д. Казанка</t>
  </si>
  <si>
    <t>д. Бузуново</t>
  </si>
  <si>
    <t>п. Красные Ключи</t>
  </si>
  <si>
    <t>д. Верхобродово</t>
  </si>
  <si>
    <t>д. Мостовское</t>
  </si>
  <si>
    <t>д. Хмелево</t>
  </si>
  <si>
    <t>п. Луговское</t>
  </si>
  <si>
    <t>д. Орловка</t>
  </si>
  <si>
    <t>д. Черняевка</t>
  </si>
  <si>
    <t>п. Язаевка</t>
  </si>
  <si>
    <t>д. Большой Кантат</t>
  </si>
  <si>
    <t>д. Минск</t>
  </si>
  <si>
    <t>д. Пристань</t>
  </si>
  <si>
    <t>д. Малороссийка</t>
  </si>
  <si>
    <t>д. Муратово</t>
  </si>
  <si>
    <t>Юксеевкий сельсовет</t>
  </si>
  <si>
    <t>с. Юксеево</t>
  </si>
  <si>
    <t>д. Береговая-Подъемная</t>
  </si>
  <si>
    <t>Итого по району</t>
  </si>
  <si>
    <t>Ед.  изм.</t>
  </si>
  <si>
    <t>2007 год</t>
  </si>
  <si>
    <t>ед.</t>
  </si>
  <si>
    <t>Школы (с филиалами)</t>
  </si>
  <si>
    <t>Средние и спец. образовательные учреждения</t>
  </si>
  <si>
    <t>нет своего здания</t>
  </si>
  <si>
    <t>Спортсооружения</t>
  </si>
  <si>
    <t>Ед.  измере-ния</t>
  </si>
  <si>
    <t>На 1000 жителей</t>
  </si>
  <si>
    <t>Вместимость на существующее население</t>
  </si>
  <si>
    <t>Фактическое посещение</t>
  </si>
  <si>
    <t>по норме СНиП</t>
  </si>
  <si>
    <t>существующее положение по району</t>
  </si>
  <si>
    <t>по нормативам</t>
  </si>
  <si>
    <t>фактическая</t>
  </si>
  <si>
    <t>мест</t>
  </si>
  <si>
    <t>учащиеся</t>
  </si>
  <si>
    <t>Внешкольные учреждения</t>
  </si>
  <si>
    <t>тыс. ед.</t>
  </si>
  <si>
    <t>Спортивные залы</t>
  </si>
  <si>
    <r>
      <t>м</t>
    </r>
    <r>
      <rPr>
        <vertAlign val="superscript"/>
        <sz val="12"/>
        <color rgb="FF000000"/>
        <rFont val="Arial Narrow"/>
        <family val="2"/>
        <charset val="204"/>
      </rPr>
      <t>2</t>
    </r>
  </si>
  <si>
    <t>ООО  "Барта" - молочная ферма. Инвестиционный проект (с.Бартат)</t>
  </si>
  <si>
    <t>Свиньи</t>
  </si>
  <si>
    <t>№ п/п</t>
  </si>
  <si>
    <t>Свиноферма  (с.Барта)</t>
  </si>
  <si>
    <t>СПК "Родина" - молочная ферма(с.Еловка)</t>
  </si>
  <si>
    <t>7</t>
  </si>
  <si>
    <t>Виды кормов</t>
  </si>
  <si>
    <t>ср.суточная дача кг/гол</t>
  </si>
  <si>
    <t>продолжит.периода корм. (дней)</t>
  </si>
  <si>
    <t>требуется на весь период (ц.в натур.корм)</t>
  </si>
  <si>
    <t>содержится в кормах (кг.)</t>
  </si>
  <si>
    <t>среднегодовое поголовье, гол</t>
  </si>
  <si>
    <t>потребность кормов на  стадо, ц</t>
  </si>
  <si>
    <t>с учетом страхового фонда 10%, ц</t>
  </si>
  <si>
    <t>кормов.ед</t>
  </si>
  <si>
    <t>перевар. протеин</t>
  </si>
  <si>
    <t>-</t>
  </si>
  <si>
    <t>Требуется по норме</t>
  </si>
  <si>
    <t xml:space="preserve"> 3300 -3500</t>
  </si>
  <si>
    <t>363-385</t>
  </si>
  <si>
    <t>Сено злаково-бобовое</t>
  </si>
  <si>
    <t>Солома</t>
  </si>
  <si>
    <t>Силос</t>
  </si>
  <si>
    <t>Свекла кормовая</t>
  </si>
  <si>
    <t>Зеленые корма</t>
  </si>
  <si>
    <t>Концетраты с содержанием в 1кг 0,92 корм.ед. и 140 г протеина</t>
  </si>
  <si>
    <t>Итого:</t>
  </si>
  <si>
    <t>4700-5600</t>
  </si>
  <si>
    <t>370-570</t>
  </si>
  <si>
    <t>Сено злаковое</t>
  </si>
  <si>
    <t>Солома яровая</t>
  </si>
  <si>
    <t>Корнеплоды</t>
  </si>
  <si>
    <t>Трава злаково-бобовая</t>
  </si>
  <si>
    <t>Концентраты</t>
  </si>
  <si>
    <t>1387-</t>
  </si>
  <si>
    <t>160-</t>
  </si>
  <si>
    <t>1.</t>
  </si>
  <si>
    <t>Ячмень, овес</t>
  </si>
  <si>
    <t>2.</t>
  </si>
  <si>
    <t>Отруби пшеничные</t>
  </si>
  <si>
    <t>3.</t>
  </si>
  <si>
    <t>Жмых, шрот подсолнечн.</t>
  </si>
  <si>
    <t>4.</t>
  </si>
  <si>
    <t>Горох или др.зернобобовые</t>
  </si>
  <si>
    <t>5.</t>
  </si>
  <si>
    <t>Картофель</t>
  </si>
  <si>
    <t>6.</t>
  </si>
  <si>
    <t>Травяная мука</t>
  </si>
  <si>
    <t>ООО "Барта" (КРС)</t>
  </si>
  <si>
    <t>На 1 очередь (2021г)</t>
  </si>
  <si>
    <t>Синоферма (с.Барта)</t>
  </si>
  <si>
    <t>СПК "Колос" (КРС)</t>
  </si>
  <si>
    <t>ИП Краскович (КРС)</t>
  </si>
  <si>
    <t>ИП Краскович (свиньи)</t>
  </si>
  <si>
    <t>ИП Краскович (лошади)</t>
  </si>
  <si>
    <t>СПК "Родина" (КРС)</t>
  </si>
  <si>
    <t>ИП Горбунов (КРС)</t>
  </si>
  <si>
    <t>ИП Горбунов (cвиньи)</t>
  </si>
  <si>
    <t>ИП Горбунов (лошади)</t>
  </si>
  <si>
    <t>СПК "Память Ленина" (КРС)</t>
  </si>
  <si>
    <t>СПК "Память Ленина"  (лошади)</t>
  </si>
  <si>
    <t>СПК "Юбилейный" (КРС)</t>
  </si>
  <si>
    <t>ООО "Данако" (КРС)</t>
  </si>
  <si>
    <t>ИП Нарутто (КРС)</t>
  </si>
  <si>
    <t>ИП Нарутто  (лошади)</t>
  </si>
  <si>
    <t>ИП Нарутто  (свиньи)</t>
  </si>
  <si>
    <t>СПК "Рассвет" (КРС)</t>
  </si>
  <si>
    <t>СПК "Рассвет"(лошади)</t>
  </si>
  <si>
    <t>СПК "Юбилейный"   (лошади)</t>
  </si>
  <si>
    <t>№№</t>
  </si>
  <si>
    <t>Культуры под посев</t>
  </si>
  <si>
    <t>потребность кормов в натур.выраж(ц)</t>
  </si>
  <si>
    <t>урожайность ц/га</t>
  </si>
  <si>
    <t>необходимая площадь пашни (га)</t>
  </si>
  <si>
    <t>1 очередь</t>
  </si>
  <si>
    <t>расч срок</t>
  </si>
  <si>
    <t>Сено с сенокосов</t>
  </si>
  <si>
    <t>1.1</t>
  </si>
  <si>
    <t>вико-овсяная смесь на сено</t>
  </si>
  <si>
    <t>Солома (отходы уборки ячменя)</t>
  </si>
  <si>
    <t>Кукуруза и подсолнечник на силос</t>
  </si>
  <si>
    <t>Корнеплоды на корм скоту</t>
  </si>
  <si>
    <t>Зеленый корм пастбищ</t>
  </si>
  <si>
    <t>5.1.</t>
  </si>
  <si>
    <t>Зеленые травы на посев</t>
  </si>
  <si>
    <t>Итого задействовано пашни:</t>
  </si>
  <si>
    <t>Жмых, шрот</t>
  </si>
  <si>
    <t>Зернобобовые</t>
  </si>
  <si>
    <t>Травы на муку</t>
  </si>
  <si>
    <t>Вико-овсяная смесь на сено</t>
  </si>
  <si>
    <t>ИП Горбунов (свиньи)</t>
  </si>
  <si>
    <t>СПК "Память Ленина" (лошади)</t>
  </si>
  <si>
    <t>Пашня для КРС</t>
  </si>
  <si>
    <t>Пашня для лошадей</t>
  </si>
  <si>
    <t>Пашня для свиней</t>
  </si>
  <si>
    <t>Итого задействовано пашни по району:</t>
  </si>
  <si>
    <t>Наименование хозяйств</t>
  </si>
  <si>
    <t>Площадь обрабатываемой пашни, га</t>
  </si>
  <si>
    <t>Площадь посева зерновых, га</t>
  </si>
  <si>
    <t>Требуется тракторов, при норме 1трактор на 100 га пашни</t>
  </si>
  <si>
    <t>Зерновых комбайнов, при норме 1 комб. на 170 га пашни</t>
  </si>
  <si>
    <t>Силосных комбайнов, при норме 1 комб. на 120 га пашни</t>
  </si>
  <si>
    <t>Корнеплодоуборочных комбайнов, при норме 1комб.на 60 га пашни</t>
  </si>
  <si>
    <t>силос</t>
  </si>
  <si>
    <t>корнеплоды</t>
  </si>
  <si>
    <t>машин</t>
  </si>
  <si>
    <t>Потр в горючем</t>
  </si>
  <si>
    <t>7.</t>
  </si>
  <si>
    <t xml:space="preserve"> Всего по району:</t>
  </si>
  <si>
    <t>Расч срок</t>
  </si>
  <si>
    <t>сохраняемые</t>
  </si>
  <si>
    <t>в том числе:</t>
  </si>
  <si>
    <t>Клубы,  300 посетительских мест  на 1000 чел.</t>
  </si>
  <si>
    <t>Сельские массовые библиотеки, 6 чит. мест на 1000 чел.</t>
  </si>
  <si>
    <t>Магазины, 300 кв. м. на 1000 чел</t>
  </si>
  <si>
    <t>СПК «Колос»</t>
  </si>
  <si>
    <t>СПК «Родина»</t>
  </si>
  <si>
    <t>СПК "Родина" (с.Еловка)</t>
  </si>
  <si>
    <t>ООО "Объединение "Агроэлита" (д.Бузуново)</t>
  </si>
  <si>
    <t>ООО "Данако" (с.Российка)</t>
  </si>
  <si>
    <t>площадь пашни под зерновые</t>
  </si>
  <si>
    <t>Д/сады</t>
  </si>
  <si>
    <t>Школы</t>
  </si>
  <si>
    <t>ЗАО «Сибирская аграрная группа» .  Инвестиционный проект.</t>
  </si>
  <si>
    <t>ЗАО «Сибирская аграрная группа» (Свинокомплекс)</t>
  </si>
  <si>
    <t>итого по району:</t>
  </si>
  <si>
    <t>почтамт</t>
  </si>
  <si>
    <t>МО п.Большая Мурта</t>
  </si>
  <si>
    <t>МО п.Предивинск</t>
  </si>
  <si>
    <t>ЖФ Общая площадь существ., тыс. кв. м</t>
  </si>
  <si>
    <t>Необходимая S для населения 2021 (21 кв.м./чел.)</t>
  </si>
  <si>
    <t>S для населения 2031 (24 кв.м./чел.)</t>
  </si>
  <si>
    <r>
      <t>ЖФ за минусом выбытия (1 очередь), м</t>
    </r>
    <r>
      <rPr>
        <vertAlign val="superscript"/>
        <sz val="10"/>
        <rFont val="Arial Narrow"/>
        <family val="2"/>
        <charset val="204"/>
      </rPr>
      <t>2</t>
    </r>
  </si>
  <si>
    <r>
      <t>Обеспеченность жилем, м</t>
    </r>
    <r>
      <rPr>
        <vertAlign val="superscript"/>
        <sz val="10"/>
        <rFont val="Arial Narrow"/>
        <family val="2"/>
        <charset val="204"/>
      </rPr>
      <t>2</t>
    </r>
    <r>
      <rPr>
        <sz val="10"/>
        <rFont val="Arial Narrow"/>
        <family val="2"/>
        <charset val="204"/>
      </rPr>
      <t>/чел.</t>
    </r>
  </si>
  <si>
    <r>
      <t>ЖФ за минусом выбытия, м</t>
    </r>
    <r>
      <rPr>
        <vertAlign val="superscript"/>
        <sz val="10"/>
        <rFont val="Arial Narrow"/>
        <family val="2"/>
        <charset val="204"/>
      </rPr>
      <t>2</t>
    </r>
  </si>
  <si>
    <t>Списание ЖФ на 1 оч., кв.м.</t>
  </si>
  <si>
    <t>Итого  по району:</t>
  </si>
  <si>
    <t>Необходимая S строительства к расч. сроку, кв.м.</t>
  </si>
  <si>
    <t>Население 2031г, чел.</t>
  </si>
  <si>
    <t>Население 2021г, чел.</t>
  </si>
  <si>
    <t>Амбулаторно-поликлинические учреждения, по заданию на проектирование, посещений в смену</t>
  </si>
  <si>
    <t>Предприятия общепита (трактир "Романыч"</t>
  </si>
  <si>
    <t>деревянное</t>
  </si>
  <si>
    <t>4 торг павильона</t>
  </si>
  <si>
    <t>2 торг павильона</t>
  </si>
  <si>
    <t>Магазины (4 ед.)</t>
  </si>
  <si>
    <t>S невостребованного жилья, кв.м.</t>
  </si>
  <si>
    <t>Гостиницы, норматив 6 местна 1000 жителей</t>
  </si>
  <si>
    <t>пр</t>
  </si>
  <si>
    <t>ф</t>
  </si>
  <si>
    <t>Спортзалы</t>
  </si>
  <si>
    <t>кв.м.</t>
  </si>
  <si>
    <t>нд</t>
  </si>
  <si>
    <t>Кафе, закусочные, норматив 40 мест на 1000 жителей</t>
  </si>
  <si>
    <t>Кафе, закусочные, норматив 40 мест/1000 жителей</t>
  </si>
  <si>
    <t>Узел связи,объект</t>
  </si>
  <si>
    <t>Почтовое отделение, объект</t>
  </si>
  <si>
    <t>Отделения сберегательного банка, норматив 1 операц.окно/1000 жителей</t>
  </si>
  <si>
    <t>Санатории, базы отдыха,по заданию на проектирование, посет.мест</t>
  </si>
  <si>
    <t>Численность на расч срок</t>
  </si>
  <si>
    <t>Больница, по заданию на проектирование, коек</t>
  </si>
  <si>
    <t>Больница, по заданию на проектирования, коек</t>
  </si>
  <si>
    <t>Химчистка, 3,5 кг вещей в смену/1000 жителей</t>
  </si>
  <si>
    <t>Приложение №2 - Строительство объектов социального и культурно-бытового назначения на расчетный срок (2031 год)</t>
  </si>
  <si>
    <t>Приложение № 1 - Строительство объектов социального и культурно-бытового назначения на первую очередь (2021 год)</t>
  </si>
</sst>
</file>

<file path=xl/styles.xml><?xml version="1.0" encoding="utf-8"?>
<styleSheet xmlns="http://schemas.openxmlformats.org/spreadsheetml/2006/main">
  <numFmts count="18">
    <numFmt numFmtId="43" formatCode="_-* #,##0.00_р_._-;\-* #,##0.00_р_._-;_-* &quot;-&quot;??_р_._-;_-@_-"/>
    <numFmt numFmtId="164" formatCode="_-* #,##0_р_._-;\-* #,##0_р_._-;_-* &quot;-&quot;??_р_._-;_-@_-"/>
    <numFmt numFmtId="165" formatCode="0.0"/>
    <numFmt numFmtId="166" formatCode="#,##0.0"/>
    <numFmt numFmtId="167" formatCode="#,##0_ ;\-#,##0\ "/>
    <numFmt numFmtId="168" formatCode="0.000"/>
    <numFmt numFmtId="169" formatCode="_-* #,##0.0_р_._-;\-* #,##0.0_р_._-;_-* &quot;-&quot;??_р_._-;_-@_-"/>
    <numFmt numFmtId="170" formatCode="_-* #,##0.0_р_._-;\-* #,##0.0_р_._-;_-* &quot;-&quot;???_р_._-;_-@_-"/>
    <numFmt numFmtId="171" formatCode="_-* #,##0.000_р_._-;\-* #,##0.000_р_._-;_-* &quot;-&quot;??_р_._-;_-@_-"/>
    <numFmt numFmtId="172" formatCode="_-* #,##0.000_р_._-;\-* #,##0.000_р_._-;_-* &quot;-&quot;???_р_._-;_-@_-"/>
    <numFmt numFmtId="173" formatCode="_-* #,##0.00_р_._-;\-* #,##0.00_р_._-;_-* &quot;-&quot;???_р_._-;_-@_-"/>
    <numFmt numFmtId="174" formatCode="_-* #,##0.0000_р_._-;\-* #,##0.0000_р_._-;_-* &quot;-&quot;???_р_._-;_-@_-"/>
    <numFmt numFmtId="175" formatCode="_-* #,##0_р_._-;\-* #,##0_р_._-;_-* &quot;-&quot;???_р_._-;_-@_-"/>
    <numFmt numFmtId="176" formatCode="0.0000"/>
    <numFmt numFmtId="177" formatCode="#,##0.0000_ ;\-#,##0.0000\ "/>
    <numFmt numFmtId="178" formatCode="#,##0.00_ ;\-#,##0.00\ "/>
    <numFmt numFmtId="179" formatCode="#,##0.000"/>
    <numFmt numFmtId="180" formatCode="#,##0.0_ ;\-#,##0.0\ "/>
  </numFmts>
  <fonts count="6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Arial Narrow"/>
      <family val="2"/>
      <charset val="204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color rgb="FFFF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vertAlign val="superscript"/>
      <sz val="10"/>
      <name val="Arial"/>
      <family val="2"/>
      <charset val="204"/>
    </font>
    <font>
      <vertAlign val="superscript"/>
      <sz val="11"/>
      <name val="Arial Narrow"/>
      <family val="2"/>
      <charset val="204"/>
    </font>
    <font>
      <b/>
      <sz val="12"/>
      <color rgb="FFFF000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9"/>
      <color rgb="FFFF0000"/>
      <name val="Arial Narrow"/>
      <family val="2"/>
      <charset val="204"/>
    </font>
    <font>
      <sz val="9"/>
      <color rgb="FFFF0000"/>
      <name val="Arial Narrow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Narrow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Arial Narrow"/>
      <family val="2"/>
      <charset val="204"/>
    </font>
    <font>
      <sz val="10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1"/>
      <name val="Arial Narrow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 Narrow"/>
      <family val="2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9"/>
      <name val="Arial Narrow"/>
      <family val="2"/>
      <charset val="204"/>
    </font>
    <font>
      <sz val="9"/>
      <color rgb="FFC00000"/>
      <name val="Arial Narrow"/>
      <family val="2"/>
      <charset val="204"/>
    </font>
    <font>
      <b/>
      <sz val="10"/>
      <name val="Arial Narrow"/>
      <family val="2"/>
      <charset val="204"/>
    </font>
    <font>
      <b/>
      <sz val="11"/>
      <color rgb="FFFF0000"/>
      <name val="Arial Narrow"/>
      <family val="2"/>
      <charset val="204"/>
    </font>
    <font>
      <sz val="12"/>
      <name val="Calibri"/>
      <family val="2"/>
      <charset val="204"/>
      <scheme val="minor"/>
    </font>
    <font>
      <sz val="12"/>
      <color theme="1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rgb="FF000000"/>
      <name val="Arial Narrow"/>
      <family val="2"/>
      <charset val="204"/>
    </font>
    <font>
      <sz val="11"/>
      <color theme="5" tint="-0.249977111117893"/>
      <name val="Calibri"/>
      <family val="2"/>
      <charset val="204"/>
      <scheme val="minor"/>
    </font>
    <font>
      <vertAlign val="superscript"/>
      <sz val="12"/>
      <color rgb="FF000000"/>
      <name val="Arial Narrow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CYR"/>
    </font>
    <font>
      <vertAlign val="superscript"/>
      <sz val="10"/>
      <name val="Arial Narrow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54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0" fontId="8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10" fillId="0" borderId="1" xfId="0" applyFont="1" applyFill="1" applyBorder="1" applyAlignment="1">
      <alignment horizontal="lef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Fill="1"/>
    <xf numFmtId="0" fontId="14" fillId="0" borderId="1" xfId="0" applyFont="1" applyFill="1" applyBorder="1" applyAlignment="1">
      <alignment horizontal="center" wrapText="1"/>
    </xf>
    <xf numFmtId="0" fontId="3" fillId="0" borderId="0" xfId="0" applyFont="1" applyFill="1" applyBorder="1"/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2" fontId="3" fillId="0" borderId="0" xfId="0" applyNumberFormat="1" applyFont="1" applyFill="1"/>
    <xf numFmtId="0" fontId="2" fillId="0" borderId="0" xfId="0" applyFont="1" applyFill="1"/>
    <xf numFmtId="0" fontId="3" fillId="10" borderId="0" xfId="0" applyFont="1" applyFill="1"/>
    <xf numFmtId="1" fontId="6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2" fontId="3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165" fontId="3" fillId="0" borderId="0" xfId="0" applyNumberFormat="1" applyFont="1" applyFill="1"/>
    <xf numFmtId="0" fontId="3" fillId="8" borderId="0" xfId="0" applyFont="1" applyFill="1" applyBorder="1"/>
    <xf numFmtId="0" fontId="3" fillId="0" borderId="0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 vertical="center"/>
    </xf>
    <xf numFmtId="3" fontId="19" fillId="0" borderId="8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/>
    <xf numFmtId="0" fontId="11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10" fillId="0" borderId="0" xfId="0" applyFont="1" applyFill="1" applyBorder="1" applyAlignment="1">
      <alignment wrapText="1"/>
    </xf>
    <xf numFmtId="166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/>
    <xf numFmtId="0" fontId="10" fillId="0" borderId="0" xfId="0" applyFont="1" applyFill="1" applyBorder="1" applyAlignment="1">
      <alignment horizontal="left" vertical="center"/>
    </xf>
    <xf numFmtId="166" fontId="3" fillId="0" borderId="0" xfId="0" applyNumberFormat="1" applyFont="1" applyFill="1"/>
    <xf numFmtId="0" fontId="10" fillId="0" borderId="0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/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wrapText="1"/>
    </xf>
    <xf numFmtId="0" fontId="27" fillId="8" borderId="0" xfId="0" applyFont="1" applyFill="1"/>
    <xf numFmtId="164" fontId="3" fillId="0" borderId="0" xfId="1" applyNumberFormat="1" applyFont="1" applyFill="1"/>
    <xf numFmtId="164" fontId="3" fillId="8" borderId="0" xfId="1" applyNumberFormat="1" applyFont="1" applyFill="1"/>
    <xf numFmtId="3" fontId="3" fillId="0" borderId="0" xfId="0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3" fontId="3" fillId="8" borderId="0" xfId="0" applyNumberFormat="1" applyFont="1" applyFill="1" applyAlignment="1">
      <alignment horizontal="center" vertical="center"/>
    </xf>
    <xf numFmtId="0" fontId="3" fillId="8" borderId="0" xfId="0" applyFont="1" applyFill="1"/>
    <xf numFmtId="0" fontId="22" fillId="0" borderId="0" xfId="0" applyFont="1" applyFill="1" applyBorder="1" applyAlignment="1">
      <alignment wrapText="1"/>
    </xf>
    <xf numFmtId="0" fontId="18" fillId="0" borderId="0" xfId="0" applyFont="1" applyFill="1" applyBorder="1"/>
    <xf numFmtId="0" fontId="7" fillId="0" borderId="1" xfId="0" applyFont="1" applyBorder="1" applyAlignment="1">
      <alignment wrapText="1"/>
    </xf>
    <xf numFmtId="0" fontId="18" fillId="0" borderId="1" xfId="0" applyFont="1" applyFill="1" applyBorder="1"/>
    <xf numFmtId="3" fontId="18" fillId="0" borderId="1" xfId="0" applyNumberFormat="1" applyFont="1" applyFill="1" applyBorder="1" applyAlignment="1">
      <alignment horizontal="center"/>
    </xf>
    <xf numFmtId="165" fontId="18" fillId="0" borderId="1" xfId="0" applyNumberFormat="1" applyFont="1" applyFill="1" applyBorder="1"/>
    <xf numFmtId="1" fontId="18" fillId="0" borderId="1" xfId="0" applyNumberFormat="1" applyFont="1" applyFill="1" applyBorder="1"/>
    <xf numFmtId="1" fontId="18" fillId="0" borderId="0" xfId="0" applyNumberFormat="1" applyFont="1" applyFill="1" applyBorder="1"/>
    <xf numFmtId="0" fontId="19" fillId="0" borderId="0" xfId="0" applyFont="1" applyFill="1" applyBorder="1"/>
    <xf numFmtId="0" fontId="19" fillId="0" borderId="1" xfId="0" applyFont="1" applyFill="1" applyBorder="1"/>
    <xf numFmtId="1" fontId="19" fillId="0" borderId="1" xfId="0" applyNumberFormat="1" applyFont="1" applyFill="1" applyBorder="1" applyAlignment="1">
      <alignment horizontal="center"/>
    </xf>
    <xf numFmtId="165" fontId="19" fillId="0" borderId="1" xfId="0" applyNumberFormat="1" applyFont="1" applyFill="1" applyBorder="1"/>
    <xf numFmtId="1" fontId="19" fillId="0" borderId="1" xfId="0" applyNumberFormat="1" applyFont="1" applyFill="1" applyBorder="1"/>
    <xf numFmtId="1" fontId="19" fillId="0" borderId="0" xfId="0" applyNumberFormat="1" applyFont="1" applyFill="1" applyBorder="1"/>
    <xf numFmtId="0" fontId="19" fillId="0" borderId="1" xfId="0" applyFont="1" applyFill="1" applyBorder="1" applyAlignment="1">
      <alignment horizontal="center"/>
    </xf>
    <xf numFmtId="3" fontId="19" fillId="0" borderId="1" xfId="0" applyNumberFormat="1" applyFont="1" applyFill="1" applyBorder="1" applyAlignment="1">
      <alignment horizontal="center"/>
    </xf>
    <xf numFmtId="165" fontId="18" fillId="0" borderId="0" xfId="0" applyNumberFormat="1" applyFont="1" applyFill="1" applyBorder="1"/>
    <xf numFmtId="165" fontId="19" fillId="0" borderId="0" xfId="0" applyNumberFormat="1" applyFont="1" applyFill="1" applyBorder="1"/>
    <xf numFmtId="0" fontId="3" fillId="2" borderId="0" xfId="0" applyFont="1" applyFill="1" applyAlignment="1">
      <alignment wrapText="1"/>
    </xf>
    <xf numFmtId="0" fontId="3" fillId="0" borderId="1" xfId="0" applyFont="1" applyFill="1" applyBorder="1" applyAlignment="1"/>
    <xf numFmtId="0" fontId="28" fillId="0" borderId="1" xfId="0" applyFont="1" applyBorder="1" applyAlignment="1">
      <alignment vertical="top" wrapText="1"/>
    </xf>
    <xf numFmtId="0" fontId="29" fillId="0" borderId="1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3" fillId="4" borderId="0" xfId="0" applyFont="1" applyFill="1"/>
    <xf numFmtId="3" fontId="15" fillId="0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3" fillId="0" borderId="0" xfId="0" applyFont="1" applyFill="1" applyBorder="1" applyAlignment="1">
      <alignment wrapText="1"/>
    </xf>
    <xf numFmtId="0" fontId="15" fillId="0" borderId="0" xfId="0" applyFont="1" applyFill="1"/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24" fillId="0" borderId="0" xfId="0" applyFont="1" applyFill="1"/>
    <xf numFmtId="0" fontId="24" fillId="4" borderId="0" xfId="0" applyFont="1" applyFill="1"/>
    <xf numFmtId="0" fontId="23" fillId="0" borderId="1" xfId="0" applyFont="1" applyFill="1" applyBorder="1"/>
    <xf numFmtId="3" fontId="23" fillId="0" borderId="0" xfId="0" applyNumberFormat="1" applyFont="1" applyFill="1"/>
    <xf numFmtId="0" fontId="2" fillId="9" borderId="1" xfId="0" applyFont="1" applyFill="1" applyBorder="1" applyAlignment="1">
      <alignment wrapText="1"/>
    </xf>
    <xf numFmtId="0" fontId="2" fillId="9" borderId="1" xfId="0" applyFont="1" applyFill="1" applyBorder="1" applyAlignment="1">
      <alignment horizont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wrapText="1"/>
    </xf>
    <xf numFmtId="2" fontId="3" fillId="0" borderId="0" xfId="0" applyNumberFormat="1" applyFont="1" applyFill="1" applyBorder="1"/>
    <xf numFmtId="0" fontId="6" fillId="2" borderId="0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30" fillId="8" borderId="1" xfId="0" applyFont="1" applyFill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43" fontId="7" fillId="0" borderId="1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9" fontId="7" fillId="0" borderId="1" xfId="1" applyNumberFormat="1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 wrapText="1"/>
    </xf>
    <xf numFmtId="43" fontId="7" fillId="0" borderId="1" xfId="1" applyFont="1" applyFill="1" applyBorder="1" applyAlignment="1">
      <alignment horizontal="center" wrapText="1"/>
    </xf>
    <xf numFmtId="169" fontId="7" fillId="11" borderId="1" xfId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/>
    </xf>
    <xf numFmtId="164" fontId="7" fillId="11" borderId="1" xfId="1" applyNumberFormat="1" applyFont="1" applyFill="1" applyBorder="1" applyAlignment="1">
      <alignment horizontal="center" wrapText="1"/>
    </xf>
    <xf numFmtId="43" fontId="14" fillId="0" borderId="1" xfId="1" applyFont="1" applyFill="1" applyBorder="1" applyAlignment="1">
      <alignment horizontal="center" wrapText="1"/>
    </xf>
    <xf numFmtId="164" fontId="14" fillId="0" borderId="1" xfId="1" applyNumberFormat="1" applyFont="1" applyFill="1" applyBorder="1" applyAlignment="1">
      <alignment horizontal="center" wrapText="1"/>
    </xf>
    <xf numFmtId="0" fontId="11" fillId="0" borderId="0" xfId="0" applyFont="1" applyFill="1"/>
    <xf numFmtId="169" fontId="7" fillId="0" borderId="1" xfId="1" applyNumberFormat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164" fontId="7" fillId="11" borderId="1" xfId="1" applyNumberFormat="1" applyFont="1" applyFill="1" applyBorder="1" applyAlignment="1">
      <alignment horizontal="center" vertical="center" wrapText="1"/>
    </xf>
    <xf numFmtId="43" fontId="14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/>
    <xf numFmtId="3" fontId="14" fillId="0" borderId="1" xfId="0" applyNumberFormat="1" applyFont="1" applyFill="1" applyBorder="1" applyAlignment="1">
      <alignment horizontal="center" wrapText="1"/>
    </xf>
    <xf numFmtId="43" fontId="14" fillId="11" borderId="1" xfId="1" applyFont="1" applyFill="1" applyBorder="1" applyAlignment="1">
      <alignment horizontal="center" vertical="center" wrapText="1"/>
    </xf>
    <xf numFmtId="169" fontId="14" fillId="0" borderId="1" xfId="1" applyNumberFormat="1" applyFont="1" applyFill="1" applyBorder="1" applyAlignment="1">
      <alignment horizontal="center" vertical="center" wrapText="1"/>
    </xf>
    <xf numFmtId="169" fontId="14" fillId="11" borderId="1" xfId="1" applyNumberFormat="1" applyFont="1" applyFill="1" applyBorder="1" applyAlignment="1">
      <alignment horizontal="center" vertical="center" wrapText="1"/>
    </xf>
    <xf numFmtId="43" fontId="7" fillId="11" borderId="1" xfId="1" applyFont="1" applyFill="1" applyBorder="1" applyAlignment="1">
      <alignment horizontal="center" vertical="center" wrapText="1"/>
    </xf>
    <xf numFmtId="0" fontId="14" fillId="0" borderId="0" xfId="0" applyFont="1" applyFill="1"/>
    <xf numFmtId="0" fontId="3" fillId="11" borderId="0" xfId="0" applyFont="1" applyFill="1"/>
    <xf numFmtId="0" fontId="11" fillId="8" borderId="1" xfId="0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/>
    </xf>
    <xf numFmtId="4" fontId="19" fillId="0" borderId="8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/>
    <xf numFmtId="3" fontId="16" fillId="0" borderId="1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top" wrapText="1"/>
    </xf>
    <xf numFmtId="0" fontId="2" fillId="4" borderId="0" xfId="0" applyFont="1" applyFill="1" applyAlignment="1">
      <alignment wrapText="1"/>
    </xf>
    <xf numFmtId="0" fontId="17" fillId="0" borderId="0" xfId="0" applyFont="1" applyFill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32" fillId="8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2" fillId="9" borderId="0" xfId="0" applyFont="1" applyFill="1" applyAlignment="1">
      <alignment wrapText="1"/>
    </xf>
    <xf numFmtId="0" fontId="30" fillId="11" borderId="1" xfId="0" applyFont="1" applyFill="1" applyBorder="1" applyAlignment="1">
      <alignment horizontal="center" vertical="top" wrapText="1"/>
    </xf>
    <xf numFmtId="0" fontId="2" fillId="11" borderId="1" xfId="0" applyFont="1" applyFill="1" applyBorder="1" applyAlignment="1">
      <alignment horizontal="center" wrapText="1"/>
    </xf>
    <xf numFmtId="0" fontId="31" fillId="0" borderId="1" xfId="0" applyFont="1" applyBorder="1" applyAlignment="1">
      <alignment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29" fillId="11" borderId="1" xfId="0" applyFont="1" applyFill="1" applyBorder="1" applyAlignment="1">
      <alignment horizontal="center" vertical="top" wrapText="1"/>
    </xf>
    <xf numFmtId="3" fontId="15" fillId="11" borderId="1" xfId="0" applyNumberFormat="1" applyFont="1" applyFill="1" applyBorder="1" applyAlignment="1">
      <alignment horizontal="center" vertical="center"/>
    </xf>
    <xf numFmtId="3" fontId="16" fillId="11" borderId="1" xfId="0" applyNumberFormat="1" applyFont="1" applyFill="1" applyBorder="1" applyAlignment="1">
      <alignment horizontal="center" vertical="center"/>
    </xf>
    <xf numFmtId="3" fontId="16" fillId="11" borderId="0" xfId="0" applyNumberFormat="1" applyFont="1" applyFill="1" applyAlignment="1">
      <alignment horizontal="center"/>
    </xf>
    <xf numFmtId="3" fontId="17" fillId="11" borderId="1" xfId="0" applyNumberFormat="1" applyFont="1" applyFill="1" applyBorder="1" applyAlignment="1">
      <alignment horizontal="center" wrapText="1"/>
    </xf>
    <xf numFmtId="0" fontId="17" fillId="11" borderId="1" xfId="0" applyFont="1" applyFill="1" applyBorder="1" applyAlignment="1">
      <alignment horizontal="center" wrapText="1"/>
    </xf>
    <xf numFmtId="0" fontId="17" fillId="11" borderId="0" xfId="0" applyFont="1" applyFill="1" applyAlignment="1">
      <alignment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 wrapText="1"/>
    </xf>
    <xf numFmtId="0" fontId="17" fillId="11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16" fillId="11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left" vertical="center" wrapText="1"/>
    </xf>
    <xf numFmtId="49" fontId="16" fillId="11" borderId="2" xfId="0" applyNumberFormat="1" applyFont="1" applyFill="1" applyBorder="1" applyAlignment="1">
      <alignment horizontal="center" vertical="center" wrapText="1"/>
    </xf>
    <xf numFmtId="0" fontId="15" fillId="11" borderId="2" xfId="0" applyFont="1" applyFill="1" applyBorder="1"/>
    <xf numFmtId="0" fontId="16" fillId="11" borderId="2" xfId="0" applyFont="1" applyFill="1" applyBorder="1" applyAlignment="1">
      <alignment horizontal="center" vertical="center"/>
    </xf>
    <xf numFmtId="0" fontId="16" fillId="11" borderId="2" xfId="0" applyFont="1" applyFill="1" applyBorder="1"/>
    <xf numFmtId="49" fontId="17" fillId="11" borderId="2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49" fontId="17" fillId="11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top" wrapText="1"/>
    </xf>
    <xf numFmtId="0" fontId="31" fillId="0" borderId="1" xfId="0" applyFont="1" applyFill="1" applyBorder="1" applyAlignment="1">
      <alignment horizontal="center" vertical="top" wrapText="1"/>
    </xf>
    <xf numFmtId="0" fontId="31" fillId="0" borderId="1" xfId="0" applyFont="1" applyFill="1" applyBorder="1" applyAlignment="1">
      <alignment vertical="top" wrapText="1"/>
    </xf>
    <xf numFmtId="0" fontId="29" fillId="0" borderId="1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vertical="top" wrapText="1"/>
    </xf>
    <xf numFmtId="169" fontId="14" fillId="0" borderId="1" xfId="1" applyNumberFormat="1" applyFont="1" applyFill="1" applyBorder="1" applyAlignment="1">
      <alignment horizontal="center" wrapText="1"/>
    </xf>
    <xf numFmtId="164" fontId="14" fillId="11" borderId="1" xfId="1" applyNumberFormat="1" applyFont="1" applyFill="1" applyBorder="1" applyAlignment="1">
      <alignment horizontal="center" vertical="center" wrapText="1"/>
    </xf>
    <xf numFmtId="0" fontId="11" fillId="11" borderId="1" xfId="0" applyFont="1" applyFill="1" applyBorder="1"/>
    <xf numFmtId="0" fontId="11" fillId="11" borderId="0" xfId="0" applyFont="1" applyFill="1"/>
    <xf numFmtId="0" fontId="7" fillId="11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wrapText="1"/>
    </xf>
    <xf numFmtId="0" fontId="3" fillId="11" borderId="1" xfId="0" applyFont="1" applyFill="1" applyBorder="1"/>
    <xf numFmtId="0" fontId="3" fillId="11" borderId="1" xfId="0" applyFont="1" applyFill="1" applyBorder="1" applyAlignment="1">
      <alignment vertical="center"/>
    </xf>
    <xf numFmtId="3" fontId="2" fillId="0" borderId="0" xfId="0" applyNumberFormat="1" applyFont="1" applyFill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wrapText="1"/>
    </xf>
    <xf numFmtId="1" fontId="2" fillId="0" borderId="0" xfId="0" applyNumberFormat="1" applyFont="1" applyFill="1" applyAlignment="1">
      <alignment wrapText="1"/>
    </xf>
    <xf numFmtId="0" fontId="15" fillId="0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9" fontId="2" fillId="4" borderId="1" xfId="1" applyNumberFormat="1" applyFont="1" applyFill="1" applyBorder="1" applyAlignment="1">
      <alignment horizontal="center" vertical="center" wrapText="1"/>
    </xf>
    <xf numFmtId="3" fontId="2" fillId="11" borderId="1" xfId="0" applyNumberFormat="1" applyFont="1" applyFill="1" applyBorder="1" applyAlignment="1">
      <alignment horizontal="center" vertical="center" wrapText="1"/>
    </xf>
    <xf numFmtId="165" fontId="2" fillId="11" borderId="1" xfId="0" applyNumberFormat="1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3" fontId="9" fillId="11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Border="1"/>
    <xf numFmtId="164" fontId="14" fillId="11" borderId="1" xfId="1" applyNumberFormat="1" applyFont="1" applyFill="1" applyBorder="1" applyAlignment="1">
      <alignment horizontal="center" wrapText="1"/>
    </xf>
    <xf numFmtId="43" fontId="14" fillId="11" borderId="1" xfId="1" applyFont="1" applyFill="1" applyBorder="1" applyAlignment="1">
      <alignment horizontal="center" wrapText="1"/>
    </xf>
    <xf numFmtId="0" fontId="14" fillId="11" borderId="1" xfId="0" applyFont="1" applyFill="1" applyBorder="1" applyAlignment="1">
      <alignment horizontal="center" wrapText="1"/>
    </xf>
    <xf numFmtId="0" fontId="14" fillId="0" borderId="1" xfId="0" applyFont="1" applyFill="1" applyBorder="1"/>
    <xf numFmtId="0" fontId="2" fillId="1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168" fontId="35" fillId="11" borderId="1" xfId="0" applyNumberFormat="1" applyFont="1" applyFill="1" applyBorder="1" applyAlignment="1">
      <alignment vertical="center" wrapText="1"/>
    </xf>
    <xf numFmtId="165" fontId="35" fillId="11" borderId="1" xfId="0" applyNumberFormat="1" applyFont="1" applyFill="1" applyBorder="1" applyAlignment="1">
      <alignment vertical="center" wrapText="1"/>
    </xf>
    <xf numFmtId="0" fontId="17" fillId="11" borderId="1" xfId="0" applyFont="1" applyFill="1" applyBorder="1" applyAlignment="1">
      <alignment vertical="center"/>
    </xf>
    <xf numFmtId="164" fontId="36" fillId="11" borderId="1" xfId="1" applyNumberFormat="1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 wrapText="1"/>
    </xf>
    <xf numFmtId="169" fontId="4" fillId="0" borderId="1" xfId="1" applyNumberFormat="1" applyFont="1" applyFill="1" applyBorder="1" applyAlignment="1">
      <alignment vertical="center" wrapText="1"/>
    </xf>
    <xf numFmtId="166" fontId="6" fillId="11" borderId="1" xfId="0" applyNumberFormat="1" applyFont="1" applyFill="1" applyBorder="1" applyAlignment="1">
      <alignment vertical="center" wrapText="1"/>
    </xf>
    <xf numFmtId="0" fontId="2" fillId="11" borderId="1" xfId="0" applyFont="1" applyFill="1" applyBorder="1" applyAlignment="1">
      <alignment vertical="center"/>
    </xf>
    <xf numFmtId="3" fontId="4" fillId="11" borderId="1" xfId="0" applyNumberFormat="1" applyFont="1" applyFill="1" applyBorder="1" applyAlignment="1">
      <alignment vertical="center" wrapText="1"/>
    </xf>
    <xf numFmtId="169" fontId="4" fillId="11" borderId="1" xfId="1" applyNumberFormat="1" applyFont="1" applyFill="1" applyBorder="1" applyAlignment="1">
      <alignment vertical="center" wrapText="1"/>
    </xf>
    <xf numFmtId="43" fontId="35" fillId="0" borderId="1" xfId="1" applyNumberFormat="1" applyFont="1" applyFill="1" applyBorder="1" applyAlignment="1">
      <alignment vertical="center" wrapText="1"/>
    </xf>
    <xf numFmtId="2" fontId="35" fillId="0" borderId="1" xfId="0" applyNumberFormat="1" applyFont="1" applyFill="1" applyBorder="1" applyAlignment="1">
      <alignment vertical="center" wrapText="1"/>
    </xf>
    <xf numFmtId="0" fontId="35" fillId="0" borderId="1" xfId="0" applyFont="1" applyFill="1" applyBorder="1" applyAlignment="1">
      <alignment vertical="center" wrapText="1"/>
    </xf>
    <xf numFmtId="169" fontId="6" fillId="0" borderId="1" xfId="1" applyNumberFormat="1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43" fontId="6" fillId="0" borderId="1" xfId="1" applyFont="1" applyFill="1" applyBorder="1" applyAlignment="1">
      <alignment vertical="center" wrapText="1"/>
    </xf>
    <xf numFmtId="43" fontId="6" fillId="11" borderId="1" xfId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3" fontId="6" fillId="11" borderId="1" xfId="0" applyNumberFormat="1" applyFont="1" applyFill="1" applyBorder="1" applyAlignment="1">
      <alignment vertical="center" wrapText="1"/>
    </xf>
    <xf numFmtId="166" fontId="35" fillId="0" borderId="1" xfId="0" applyNumberFormat="1" applyFont="1" applyFill="1" applyBorder="1" applyAlignment="1">
      <alignment vertical="center" wrapText="1"/>
    </xf>
    <xf numFmtId="3" fontId="35" fillId="0" borderId="1" xfId="0" applyNumberFormat="1" applyFont="1" applyFill="1" applyBorder="1" applyAlignment="1">
      <alignment vertical="center" wrapText="1"/>
    </xf>
    <xf numFmtId="43" fontId="35" fillId="11" borderId="1" xfId="1" applyFont="1" applyFill="1" applyBorder="1" applyAlignment="1">
      <alignment vertical="center" wrapText="1"/>
    </xf>
    <xf numFmtId="166" fontId="35" fillId="11" borderId="1" xfId="0" applyNumberFormat="1" applyFont="1" applyFill="1" applyBorder="1" applyAlignment="1">
      <alignment vertical="center" wrapText="1"/>
    </xf>
    <xf numFmtId="3" fontId="35" fillId="11" borderId="1" xfId="0" applyNumberFormat="1" applyFont="1" applyFill="1" applyBorder="1" applyAlignment="1">
      <alignment vertical="center" wrapText="1"/>
    </xf>
    <xf numFmtId="168" fontId="35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center" wrapText="1"/>
    </xf>
    <xf numFmtId="1" fontId="35" fillId="0" borderId="1" xfId="0" applyNumberFormat="1" applyFont="1" applyFill="1" applyBorder="1" applyAlignment="1">
      <alignment vertical="center" wrapText="1"/>
    </xf>
    <xf numFmtId="165" fontId="35" fillId="0" borderId="1" xfId="0" applyNumberFormat="1" applyFont="1" applyFill="1" applyBorder="1" applyAlignment="1">
      <alignment vertical="center" wrapText="1"/>
    </xf>
    <xf numFmtId="168" fontId="6" fillId="11" borderId="1" xfId="0" applyNumberFormat="1" applyFont="1" applyFill="1" applyBorder="1" applyAlignment="1">
      <alignment vertical="center" wrapText="1"/>
    </xf>
    <xf numFmtId="0" fontId="35" fillId="11" borderId="1" xfId="0" applyFont="1" applyFill="1" applyBorder="1" applyAlignment="1">
      <alignment vertical="center" wrapText="1"/>
    </xf>
    <xf numFmtId="0" fontId="6" fillId="11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10" borderId="0" xfId="0" applyFont="1" applyFill="1" applyAlignment="1">
      <alignment vertical="center"/>
    </xf>
    <xf numFmtId="0" fontId="2" fillId="0" borderId="0" xfId="0" applyFont="1"/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3" fontId="3" fillId="11" borderId="1" xfId="0" applyNumberFormat="1" applyFont="1" applyFill="1" applyBorder="1"/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17" fillId="11" borderId="1" xfId="0" applyNumberFormat="1" applyFont="1" applyFill="1" applyBorder="1" applyAlignment="1">
      <alignment horizontal="center" vertical="center"/>
    </xf>
    <xf numFmtId="169" fontId="6" fillId="0" borderId="1" xfId="1" applyNumberFormat="1" applyFont="1" applyFill="1" applyBorder="1" applyAlignment="1">
      <alignment horizontal="center" vertical="center" wrapText="1"/>
    </xf>
    <xf numFmtId="1" fontId="35" fillId="11" borderId="2" xfId="0" applyNumberFormat="1" applyFont="1" applyFill="1" applyBorder="1" applyAlignment="1">
      <alignment vertical="center" wrapText="1"/>
    </xf>
    <xf numFmtId="166" fontId="35" fillId="11" borderId="2" xfId="0" applyNumberFormat="1" applyFont="1" applyFill="1" applyBorder="1" applyAlignment="1">
      <alignment vertical="center" wrapText="1"/>
    </xf>
    <xf numFmtId="166" fontId="35" fillId="11" borderId="2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35" fillId="0" borderId="1" xfId="0" applyNumberFormat="1" applyFont="1" applyFill="1" applyBorder="1" applyAlignment="1">
      <alignment horizontal="center" vertical="center" wrapText="1"/>
    </xf>
    <xf numFmtId="166" fontId="35" fillId="11" borderId="1" xfId="0" applyNumberFormat="1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horizontal="center" vertical="center"/>
    </xf>
    <xf numFmtId="1" fontId="35" fillId="11" borderId="1" xfId="0" applyNumberFormat="1" applyFont="1" applyFill="1" applyBorder="1" applyAlignment="1">
      <alignment vertical="center" wrapText="1"/>
    </xf>
    <xf numFmtId="0" fontId="33" fillId="11" borderId="1" xfId="0" applyFont="1" applyFill="1" applyBorder="1" applyAlignment="1">
      <alignment horizontal="center" wrapText="1"/>
    </xf>
    <xf numFmtId="164" fontId="33" fillId="11" borderId="1" xfId="1" applyNumberFormat="1" applyFont="1" applyFill="1" applyBorder="1" applyAlignment="1">
      <alignment horizontal="center" wrapText="1"/>
    </xf>
    <xf numFmtId="164" fontId="33" fillId="11" borderId="8" xfId="1" applyNumberFormat="1" applyFont="1" applyFill="1" applyBorder="1" applyAlignment="1">
      <alignment horizontal="center" wrapText="1"/>
    </xf>
    <xf numFmtId="1" fontId="30" fillId="11" borderId="1" xfId="0" applyNumberFormat="1" applyFont="1" applyFill="1" applyBorder="1" applyAlignment="1">
      <alignment vertical="center" wrapText="1"/>
    </xf>
    <xf numFmtId="0" fontId="34" fillId="0" borderId="1" xfId="0" applyFont="1" applyFill="1" applyBorder="1" applyAlignment="1">
      <alignment horizontal="center" wrapText="1"/>
    </xf>
    <xf numFmtId="164" fontId="34" fillId="0" borderId="1" xfId="1" applyNumberFormat="1" applyFont="1" applyFill="1" applyBorder="1" applyAlignment="1">
      <alignment horizontal="center" wrapText="1"/>
    </xf>
    <xf numFmtId="164" fontId="34" fillId="0" borderId="8" xfId="1" applyNumberFormat="1" applyFont="1" applyFill="1" applyBorder="1" applyAlignment="1">
      <alignment horizontal="center" wrapText="1"/>
    </xf>
    <xf numFmtId="1" fontId="31" fillId="0" borderId="1" xfId="0" applyNumberFormat="1" applyFont="1" applyFill="1" applyBorder="1" applyAlignment="1">
      <alignment vertical="center" wrapText="1"/>
    </xf>
    <xf numFmtId="3" fontId="33" fillId="0" borderId="1" xfId="0" applyNumberFormat="1" applyFont="1" applyFill="1" applyBorder="1" applyAlignment="1">
      <alignment horizontal="center" vertical="center" wrapText="1"/>
    </xf>
    <xf numFmtId="3" fontId="33" fillId="0" borderId="8" xfId="0" applyNumberFormat="1" applyFont="1" applyFill="1" applyBorder="1" applyAlignment="1">
      <alignment horizontal="center" vertical="center" wrapText="1"/>
    </xf>
    <xf numFmtId="3" fontId="30" fillId="0" borderId="1" xfId="0" applyNumberFormat="1" applyFont="1" applyFill="1" applyBorder="1" applyAlignment="1">
      <alignment vertical="center" wrapText="1"/>
    </xf>
    <xf numFmtId="0" fontId="34" fillId="0" borderId="1" xfId="0" applyFont="1" applyFill="1" applyBorder="1"/>
    <xf numFmtId="0" fontId="34" fillId="0" borderId="0" xfId="0" applyFont="1" applyFill="1"/>
    <xf numFmtId="0" fontId="31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0" xfId="0" applyFont="1"/>
    <xf numFmtId="0" fontId="2" fillId="11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left" vertical="center"/>
    </xf>
    <xf numFmtId="0" fontId="2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/>
    <xf numFmtId="0" fontId="3" fillId="11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/>
    <xf numFmtId="0" fontId="3" fillId="11" borderId="1" xfId="0" applyFont="1" applyFill="1" applyBorder="1" applyAlignment="1">
      <alignment wrapText="1"/>
    </xf>
    <xf numFmtId="0" fontId="2" fillId="11" borderId="1" xfId="0" applyFont="1" applyFill="1" applyBorder="1" applyAlignment="1">
      <alignment horizontal="center"/>
    </xf>
    <xf numFmtId="0" fontId="3" fillId="11" borderId="1" xfId="0" applyFont="1" applyFill="1" applyBorder="1" applyAlignment="1">
      <alignment horizontal="left"/>
    </xf>
    <xf numFmtId="0" fontId="3" fillId="11" borderId="1" xfId="0" applyFont="1" applyFill="1" applyBorder="1" applyAlignment="1">
      <alignment horizontal="center"/>
    </xf>
    <xf numFmtId="0" fontId="3" fillId="13" borderId="0" xfId="0" applyFont="1" applyFill="1" applyBorder="1"/>
    <xf numFmtId="0" fontId="31" fillId="13" borderId="0" xfId="0" applyFont="1" applyFill="1" applyBorder="1" applyAlignment="1">
      <alignment horizontal="center" vertical="center" wrapText="1"/>
    </xf>
    <xf numFmtId="0" fontId="3" fillId="13" borderId="0" xfId="0" applyFont="1" applyFill="1"/>
    <xf numFmtId="0" fontId="3" fillId="13" borderId="0" xfId="0" applyFont="1" applyFill="1" applyAlignment="1">
      <alignment horizontal="left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0" xfId="0" applyFont="1" applyFill="1" applyBorder="1"/>
    <xf numFmtId="0" fontId="5" fillId="0" borderId="0" xfId="0" applyFont="1" applyFill="1"/>
    <xf numFmtId="3" fontId="2" fillId="0" borderId="1" xfId="0" applyNumberFormat="1" applyFont="1" applyFill="1" applyBorder="1"/>
    <xf numFmtId="3" fontId="2" fillId="0" borderId="0" xfId="0" applyNumberFormat="1" applyFont="1" applyFill="1" applyBorder="1"/>
    <xf numFmtId="3" fontId="2" fillId="0" borderId="10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/>
    </xf>
    <xf numFmtId="3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top" wrapText="1"/>
    </xf>
    <xf numFmtId="3" fontId="17" fillId="0" borderId="1" xfId="0" applyNumberFormat="1" applyFont="1" applyFill="1" applyBorder="1" applyAlignment="1">
      <alignment horizontal="center" wrapText="1"/>
    </xf>
    <xf numFmtId="3" fontId="17" fillId="0" borderId="1" xfId="0" applyNumberFormat="1" applyFont="1" applyFill="1" applyBorder="1" applyAlignment="1">
      <alignment horizontal="center" vertical="top"/>
    </xf>
    <xf numFmtId="3" fontId="17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7" xfId="0" applyNumberFormat="1" applyFont="1" applyFill="1" applyBorder="1"/>
    <xf numFmtId="0" fontId="2" fillId="0" borderId="2" xfId="0" applyFont="1" applyFill="1" applyBorder="1"/>
    <xf numFmtId="0" fontId="16" fillId="0" borderId="0" xfId="0" applyFont="1" applyFill="1" applyBorder="1" applyAlignment="1">
      <alignment horizontal="right" vertical="top" wrapText="1"/>
    </xf>
    <xf numFmtId="0" fontId="15" fillId="0" borderId="0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30" fillId="6" borderId="1" xfId="0" applyFont="1" applyFill="1" applyBorder="1" applyAlignment="1">
      <alignment horizontal="center" vertical="top" wrapText="1"/>
    </xf>
    <xf numFmtId="0" fontId="31" fillId="6" borderId="1" xfId="0" applyFont="1" applyFill="1" applyBorder="1" applyAlignment="1">
      <alignment vertical="top" wrapText="1"/>
    </xf>
    <xf numFmtId="3" fontId="17" fillId="6" borderId="1" xfId="0" applyNumberFormat="1" applyFont="1" applyFill="1" applyBorder="1" applyAlignment="1">
      <alignment horizontal="center"/>
    </xf>
    <xf numFmtId="3" fontId="2" fillId="6" borderId="1" xfId="0" applyNumberFormat="1" applyFont="1" applyFill="1" applyBorder="1"/>
    <xf numFmtId="3" fontId="2" fillId="6" borderId="0" xfId="0" applyNumberFormat="1" applyFont="1" applyFill="1" applyBorder="1"/>
    <xf numFmtId="3" fontId="2" fillId="6" borderId="10" xfId="0" applyNumberFormat="1" applyFont="1" applyFill="1" applyBorder="1"/>
    <xf numFmtId="0" fontId="2" fillId="6" borderId="1" xfId="0" applyFont="1" applyFill="1" applyBorder="1"/>
    <xf numFmtId="0" fontId="2" fillId="6" borderId="0" xfId="0" applyFont="1" applyFill="1"/>
    <xf numFmtId="0" fontId="2" fillId="0" borderId="10" xfId="0" applyFont="1" applyFill="1" applyBorder="1"/>
    <xf numFmtId="0" fontId="5" fillId="0" borderId="1" xfId="0" applyFont="1" applyFill="1" applyBorder="1" applyAlignment="1">
      <alignment wrapText="1"/>
    </xf>
    <xf numFmtId="169" fontId="19" fillId="0" borderId="8" xfId="1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1" fontId="39" fillId="0" borderId="1" xfId="0" applyNumberFormat="1" applyFont="1" applyFill="1" applyBorder="1" applyAlignment="1">
      <alignment horizontal="center" vertical="center"/>
    </xf>
    <xf numFmtId="3" fontId="39" fillId="0" borderId="1" xfId="0" applyNumberFormat="1" applyFont="1" applyFill="1" applyBorder="1" applyAlignment="1">
      <alignment horizontal="center" vertical="center"/>
    </xf>
    <xf numFmtId="3" fontId="39" fillId="0" borderId="8" xfId="0" applyNumberFormat="1" applyFont="1" applyFill="1" applyBorder="1" applyAlignment="1">
      <alignment horizontal="center" vertical="center"/>
    </xf>
    <xf numFmtId="0" fontId="38" fillId="0" borderId="1" xfId="0" applyFont="1" applyBorder="1" applyAlignment="1">
      <alignment vertical="top" wrapText="1"/>
    </xf>
    <xf numFmtId="49" fontId="40" fillId="11" borderId="2" xfId="0" applyNumberFormat="1" applyFont="1" applyFill="1" applyBorder="1" applyAlignment="1">
      <alignment horizontal="center" vertical="center" wrapText="1"/>
    </xf>
    <xf numFmtId="49" fontId="41" fillId="0" borderId="2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left" vertical="center" wrapText="1"/>
    </xf>
    <xf numFmtId="0" fontId="37" fillId="11" borderId="1" xfId="0" applyFont="1" applyFill="1" applyBorder="1" applyAlignment="1">
      <alignment horizontal="center" vertical="top" wrapText="1"/>
    </xf>
    <xf numFmtId="0" fontId="38" fillId="0" borderId="1" xfId="0" applyFont="1" applyFill="1" applyBorder="1" applyAlignment="1">
      <alignment vertical="top" wrapText="1"/>
    </xf>
    <xf numFmtId="0" fontId="42" fillId="0" borderId="1" xfId="0" applyFont="1" applyBorder="1" applyAlignment="1">
      <alignment vertical="top" wrapText="1"/>
    </xf>
    <xf numFmtId="0" fontId="26" fillId="0" borderId="0" xfId="0" applyFont="1" applyFill="1" applyBorder="1"/>
    <xf numFmtId="0" fontId="26" fillId="0" borderId="0" xfId="0" applyFont="1" applyBorder="1"/>
    <xf numFmtId="0" fontId="38" fillId="0" borderId="1" xfId="0" applyFont="1" applyFill="1" applyBorder="1" applyAlignment="1">
      <alignment horizontal="center" vertical="center" wrapText="1"/>
    </xf>
    <xf numFmtId="3" fontId="43" fillId="0" borderId="1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vertical="top" wrapText="1"/>
    </xf>
    <xf numFmtId="0" fontId="3" fillId="0" borderId="1" xfId="0" applyNumberFormat="1" applyFont="1" applyFill="1" applyBorder="1"/>
    <xf numFmtId="49" fontId="39" fillId="0" borderId="1" xfId="0" applyNumberFormat="1" applyFont="1" applyFill="1" applyBorder="1" applyAlignment="1">
      <alignment horizontal="center" vertical="center"/>
    </xf>
    <xf numFmtId="49" fontId="15" fillId="6" borderId="2" xfId="0" applyNumberFormat="1" applyFont="1" applyFill="1" applyBorder="1" applyAlignment="1">
      <alignment horizontal="center" vertical="center" wrapText="1"/>
    </xf>
    <xf numFmtId="49" fontId="15" fillId="6" borderId="2" xfId="0" applyNumberFormat="1" applyFont="1" applyFill="1" applyBorder="1" applyAlignment="1">
      <alignment horizontal="left" vertical="center" wrapText="1"/>
    </xf>
    <xf numFmtId="3" fontId="17" fillId="6" borderId="1" xfId="0" applyNumberFormat="1" applyFont="1" applyFill="1" applyBorder="1" applyAlignment="1">
      <alignment horizontal="center" vertical="center"/>
    </xf>
    <xf numFmtId="4" fontId="39" fillId="0" borderId="1" xfId="0" applyNumberFormat="1" applyFont="1" applyFill="1" applyBorder="1" applyAlignment="1">
      <alignment horizontal="center" vertical="center"/>
    </xf>
    <xf numFmtId="3" fontId="44" fillId="0" borderId="1" xfId="0" applyNumberFormat="1" applyFont="1" applyFill="1" applyBorder="1" applyAlignment="1">
      <alignment horizontal="center" vertical="center"/>
    </xf>
    <xf numFmtId="0" fontId="2" fillId="6" borderId="10" xfId="0" applyFont="1" applyFill="1" applyBorder="1"/>
    <xf numFmtId="0" fontId="2" fillId="6" borderId="0" xfId="0" applyFont="1" applyFill="1" applyBorder="1"/>
    <xf numFmtId="0" fontId="2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top" wrapText="1"/>
    </xf>
    <xf numFmtId="0" fontId="33" fillId="0" borderId="0" xfId="0" applyFont="1" applyFill="1" applyBorder="1" applyAlignment="1">
      <alignment horizontal="left"/>
    </xf>
    <xf numFmtId="0" fontId="1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14" fillId="8" borderId="0" xfId="0" applyFont="1" applyFill="1" applyBorder="1" applyAlignment="1">
      <alignment horizontal="center" vertical="center"/>
    </xf>
    <xf numFmtId="0" fontId="25" fillId="8" borderId="0" xfId="0" applyFont="1" applyFill="1" applyBorder="1" applyAlignment="1">
      <alignment horizontal="center" vertical="center"/>
    </xf>
    <xf numFmtId="3" fontId="14" fillId="8" borderId="0" xfId="0" applyNumberFormat="1" applyFont="1" applyFill="1" applyBorder="1" applyAlignment="1">
      <alignment horizontal="center" vertical="center"/>
    </xf>
    <xf numFmtId="4" fontId="39" fillId="0" borderId="8" xfId="0" applyNumberFormat="1" applyFont="1" applyFill="1" applyBorder="1" applyAlignment="1">
      <alignment horizontal="center" vertical="center"/>
    </xf>
    <xf numFmtId="0" fontId="21" fillId="11" borderId="1" xfId="0" applyFont="1" applyFill="1" applyBorder="1" applyAlignment="1">
      <alignment horizontal="center" vertical="center"/>
    </xf>
    <xf numFmtId="1" fontId="19" fillId="11" borderId="1" xfId="0" applyNumberFormat="1" applyFont="1" applyFill="1" applyBorder="1" applyAlignment="1">
      <alignment horizontal="center" vertical="center"/>
    </xf>
    <xf numFmtId="3" fontId="19" fillId="11" borderId="1" xfId="0" applyNumberFormat="1" applyFont="1" applyFill="1" applyBorder="1" applyAlignment="1">
      <alignment horizontal="center" vertical="center"/>
    </xf>
    <xf numFmtId="3" fontId="19" fillId="11" borderId="8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vertical="center"/>
    </xf>
    <xf numFmtId="0" fontId="39" fillId="0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17" fillId="11" borderId="1" xfId="0" applyNumberFormat="1" applyFont="1" applyFill="1" applyBorder="1" applyAlignment="1">
      <alignment horizontal="center" vertical="center" wrapText="1"/>
    </xf>
    <xf numFmtId="0" fontId="2" fillId="13" borderId="0" xfId="0" applyFont="1" applyFill="1" applyAlignment="1">
      <alignment wrapText="1"/>
    </xf>
    <xf numFmtId="0" fontId="17" fillId="13" borderId="0" xfId="0" applyFont="1" applyFill="1" applyAlignment="1">
      <alignment horizontal="center" vertical="center" wrapText="1"/>
    </xf>
    <xf numFmtId="3" fontId="17" fillId="1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3" fontId="45" fillId="0" borderId="1" xfId="0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/>
    </xf>
    <xf numFmtId="4" fontId="45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/>
    <xf numFmtId="0" fontId="2" fillId="0" borderId="8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3" fontId="2" fillId="11" borderId="1" xfId="0" applyNumberFormat="1" applyFont="1" applyFill="1" applyBorder="1"/>
    <xf numFmtId="3" fontId="2" fillId="11" borderId="0" xfId="0" applyNumberFormat="1" applyFont="1" applyFill="1" applyBorder="1"/>
    <xf numFmtId="3" fontId="17" fillId="11" borderId="1" xfId="0" applyNumberFormat="1" applyFont="1" applyFill="1" applyBorder="1" applyAlignment="1">
      <alignment horizontal="center"/>
    </xf>
    <xf numFmtId="3" fontId="2" fillId="11" borderId="10" xfId="0" applyNumberFormat="1" applyFont="1" applyFill="1" applyBorder="1"/>
    <xf numFmtId="0" fontId="2" fillId="11" borderId="1" xfId="0" applyFont="1" applyFill="1" applyBorder="1"/>
    <xf numFmtId="0" fontId="2" fillId="11" borderId="0" xfId="0" applyFont="1" applyFill="1"/>
    <xf numFmtId="0" fontId="38" fillId="11" borderId="1" xfId="0" applyFont="1" applyFill="1" applyBorder="1" applyAlignment="1">
      <alignment horizontal="center" vertical="center"/>
    </xf>
    <xf numFmtId="1" fontId="39" fillId="11" borderId="1" xfId="0" applyNumberFormat="1" applyFont="1" applyFill="1" applyBorder="1" applyAlignment="1">
      <alignment horizontal="center" vertical="center"/>
    </xf>
    <xf numFmtId="3" fontId="39" fillId="11" borderId="1" xfId="0" applyNumberFormat="1" applyFont="1" applyFill="1" applyBorder="1" applyAlignment="1">
      <alignment horizontal="center" vertical="center"/>
    </xf>
    <xf numFmtId="3" fontId="39" fillId="11" borderId="8" xfId="0" applyNumberFormat="1" applyFont="1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 textRotation="90" wrapText="1"/>
    </xf>
    <xf numFmtId="0" fontId="21" fillId="0" borderId="1" xfId="0" applyFont="1" applyBorder="1" applyAlignment="1">
      <alignment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vertical="center" wrapText="1"/>
    </xf>
    <xf numFmtId="3" fontId="17" fillId="11" borderId="1" xfId="0" applyNumberFormat="1" applyFont="1" applyFill="1" applyBorder="1" applyAlignment="1">
      <alignment horizontal="center" vertical="top"/>
    </xf>
    <xf numFmtId="3" fontId="17" fillId="2" borderId="1" xfId="0" applyNumberFormat="1" applyFont="1" applyFill="1" applyBorder="1" applyAlignment="1">
      <alignment horizontal="center" wrapText="1"/>
    </xf>
    <xf numFmtId="3" fontId="17" fillId="2" borderId="1" xfId="0" applyNumberFormat="1" applyFont="1" applyFill="1" applyBorder="1" applyAlignment="1">
      <alignment horizontal="center" vertical="top" wrapText="1"/>
    </xf>
    <xf numFmtId="3" fontId="2" fillId="2" borderId="1" xfId="0" applyNumberFormat="1" applyFont="1" applyFill="1" applyBorder="1"/>
    <xf numFmtId="3" fontId="2" fillId="2" borderId="0" xfId="0" applyNumberFormat="1" applyFont="1" applyFill="1" applyBorder="1"/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39" fillId="0" borderId="0" xfId="0" applyFont="1" applyFill="1" applyBorder="1"/>
    <xf numFmtId="165" fontId="39" fillId="0" borderId="0" xfId="0" applyNumberFormat="1" applyFont="1" applyFill="1" applyBorder="1"/>
    <xf numFmtId="1" fontId="39" fillId="0" borderId="0" xfId="0" applyNumberFormat="1" applyFont="1" applyFill="1" applyBorder="1"/>
    <xf numFmtId="1" fontId="43" fillId="0" borderId="0" xfId="0" applyNumberFormat="1" applyFont="1" applyFill="1" applyBorder="1"/>
    <xf numFmtId="0" fontId="2" fillId="0" borderId="0" xfId="0" applyFont="1" applyBorder="1"/>
    <xf numFmtId="3" fontId="6" fillId="2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3" fontId="2" fillId="7" borderId="1" xfId="0" applyNumberFormat="1" applyFont="1" applyFill="1" applyBorder="1" applyAlignment="1">
      <alignment horizontal="center" vertical="center" wrapText="1"/>
    </xf>
    <xf numFmtId="166" fontId="39" fillId="0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vertical="center"/>
    </xf>
    <xf numFmtId="168" fontId="35" fillId="4" borderId="1" xfId="0" applyNumberFormat="1" applyFont="1" applyFill="1" applyBorder="1" applyAlignment="1">
      <alignment vertical="center" wrapText="1"/>
    </xf>
    <xf numFmtId="166" fontId="6" fillId="4" borderId="1" xfId="0" applyNumberFormat="1" applyFont="1" applyFill="1" applyBorder="1" applyAlignment="1">
      <alignment vertical="center" wrapText="1"/>
    </xf>
    <xf numFmtId="169" fontId="6" fillId="4" borderId="1" xfId="1" applyNumberFormat="1" applyFont="1" applyFill="1" applyBorder="1" applyAlignment="1">
      <alignment vertical="center" wrapText="1"/>
    </xf>
    <xf numFmtId="0" fontId="2" fillId="4" borderId="0" xfId="0" applyFont="1" applyFill="1" applyAlignment="1">
      <alignment vertical="center"/>
    </xf>
    <xf numFmtId="0" fontId="17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2" fontId="35" fillId="4" borderId="1" xfId="0" applyNumberFormat="1" applyFont="1" applyFill="1" applyBorder="1" applyAlignment="1">
      <alignment vertical="center" wrapText="1"/>
    </xf>
    <xf numFmtId="0" fontId="35" fillId="4" borderId="1" xfId="0" applyFont="1" applyFill="1" applyBorder="1" applyAlignment="1">
      <alignment vertical="center" wrapText="1"/>
    </xf>
    <xf numFmtId="166" fontId="35" fillId="4" borderId="1" xfId="0" applyNumberFormat="1" applyFont="1" applyFill="1" applyBorder="1" applyAlignment="1">
      <alignment vertical="center" wrapText="1"/>
    </xf>
    <xf numFmtId="168" fontId="6" fillId="4" borderId="1" xfId="0" applyNumberFormat="1" applyFont="1" applyFill="1" applyBorder="1" applyAlignment="1">
      <alignment vertical="center" wrapText="1"/>
    </xf>
    <xf numFmtId="1" fontId="35" fillId="4" borderId="2" xfId="0" applyNumberFormat="1" applyFont="1" applyFill="1" applyBorder="1" applyAlignment="1">
      <alignment vertical="center" wrapText="1"/>
    </xf>
    <xf numFmtId="1" fontId="30" fillId="4" borderId="1" xfId="0" applyNumberFormat="1" applyFont="1" applyFill="1" applyBorder="1" applyAlignment="1">
      <alignment vertical="center" wrapText="1"/>
    </xf>
    <xf numFmtId="0" fontId="30" fillId="11" borderId="1" xfId="0" applyFont="1" applyFill="1" applyBorder="1" applyAlignment="1">
      <alignment horizontal="center" vertical="center" wrapText="1"/>
    </xf>
    <xf numFmtId="164" fontId="36" fillId="11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11" borderId="1" xfId="1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43" fontId="35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3" fontId="6" fillId="11" borderId="1" xfId="1" applyFont="1" applyFill="1" applyBorder="1" applyAlignment="1">
      <alignment horizontal="center" vertical="center" wrapText="1"/>
    </xf>
    <xf numFmtId="43" fontId="35" fillId="11" borderId="1" xfId="1" applyFont="1" applyFill="1" applyBorder="1" applyAlignment="1">
      <alignment horizontal="center" vertical="center" wrapText="1"/>
    </xf>
    <xf numFmtId="169" fontId="6" fillId="11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6" fillId="11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4" fillId="10" borderId="0" xfId="0" applyFont="1" applyFill="1" applyAlignment="1">
      <alignment horizontal="center" vertical="center"/>
    </xf>
    <xf numFmtId="164" fontId="30" fillId="8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14" borderId="4" xfId="0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169" fontId="35" fillId="11" borderId="1" xfId="1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wrapText="1"/>
    </xf>
    <xf numFmtId="0" fontId="2" fillId="11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13" borderId="0" xfId="0" applyFont="1" applyFill="1" applyBorder="1" applyAlignment="1">
      <alignment wrapText="1"/>
    </xf>
    <xf numFmtId="0" fontId="2" fillId="11" borderId="1" xfId="0" applyFont="1" applyFill="1" applyBorder="1" applyAlignment="1">
      <alignment horizontal="left" wrapText="1"/>
    </xf>
    <xf numFmtId="0" fontId="2" fillId="13" borderId="0" xfId="0" applyFont="1" applyFill="1" applyAlignment="1">
      <alignment horizontal="left" wrapText="1"/>
    </xf>
    <xf numFmtId="43" fontId="6" fillId="0" borderId="1" xfId="1" applyNumberFormat="1" applyFont="1" applyFill="1" applyBorder="1" applyAlignment="1">
      <alignment horizontal="center" vertical="center" wrapText="1"/>
    </xf>
    <xf numFmtId="43" fontId="35" fillId="0" borderId="1" xfId="1" applyNumberFormat="1" applyFont="1" applyFill="1" applyBorder="1" applyAlignment="1">
      <alignment horizontal="center" vertical="center" wrapText="1"/>
    </xf>
    <xf numFmtId="164" fontId="35" fillId="0" borderId="1" xfId="1" applyNumberFormat="1" applyFont="1" applyFill="1" applyBorder="1" applyAlignment="1">
      <alignment horizontal="center" vertical="center" wrapText="1"/>
    </xf>
    <xf numFmtId="165" fontId="39" fillId="0" borderId="1" xfId="0" applyNumberFormat="1" applyFont="1" applyFill="1" applyBorder="1" applyAlignment="1">
      <alignment horizontal="center" vertical="center"/>
    </xf>
    <xf numFmtId="168" fontId="35" fillId="11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" fontId="35" fillId="11" borderId="1" xfId="1" applyNumberFormat="1" applyFont="1" applyFill="1" applyBorder="1" applyAlignment="1">
      <alignment horizontal="center" vertical="center" wrapText="1"/>
    </xf>
    <xf numFmtId="171" fontId="6" fillId="0" borderId="1" xfId="1" applyNumberFormat="1" applyFont="1" applyFill="1" applyBorder="1" applyAlignment="1">
      <alignment horizontal="center" vertical="center" wrapText="1"/>
    </xf>
    <xf numFmtId="171" fontId="35" fillId="11" borderId="1" xfId="1" applyNumberFormat="1" applyFont="1" applyFill="1" applyBorder="1" applyAlignment="1">
      <alignment vertical="center" wrapText="1"/>
    </xf>
    <xf numFmtId="171" fontId="6" fillId="0" borderId="1" xfId="0" applyNumberFormat="1" applyFont="1" applyFill="1" applyBorder="1" applyAlignment="1">
      <alignment vertical="center" wrapText="1"/>
    </xf>
    <xf numFmtId="171" fontId="6" fillId="0" borderId="1" xfId="1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/>
    </xf>
    <xf numFmtId="49" fontId="39" fillId="0" borderId="1" xfId="0" applyNumberFormat="1" applyFont="1" applyFill="1" applyBorder="1" applyAlignment="1">
      <alignment horizontal="left" vertical="center"/>
    </xf>
    <xf numFmtId="43" fontId="6" fillId="0" borderId="1" xfId="1" applyFont="1" applyFill="1" applyBorder="1" applyAlignment="1">
      <alignment wrapText="1"/>
    </xf>
    <xf numFmtId="49" fontId="43" fillId="0" borderId="1" xfId="0" applyNumberFormat="1" applyFont="1" applyFill="1" applyBorder="1" applyAlignment="1">
      <alignment horizontal="left" vertical="center"/>
    </xf>
    <xf numFmtId="3" fontId="39" fillId="0" borderId="1" xfId="0" applyNumberFormat="1" applyFont="1" applyFill="1" applyBorder="1" applyAlignment="1">
      <alignment horizontal="left" vertical="center"/>
    </xf>
    <xf numFmtId="169" fontId="4" fillId="0" borderId="1" xfId="1" applyNumberFormat="1" applyFont="1" applyFill="1" applyBorder="1" applyAlignment="1">
      <alignment vertical="center"/>
    </xf>
    <xf numFmtId="169" fontId="2" fillId="0" borderId="1" xfId="1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left" vertical="center"/>
    </xf>
    <xf numFmtId="0" fontId="38" fillId="0" borderId="2" xfId="0" applyFont="1" applyFill="1" applyBorder="1" applyAlignment="1">
      <alignment horizontal="left" vertical="center"/>
    </xf>
    <xf numFmtId="0" fontId="38" fillId="0" borderId="2" xfId="0" applyFont="1" applyFill="1" applyBorder="1" applyAlignment="1">
      <alignment horizontal="center" vertical="center"/>
    </xf>
    <xf numFmtId="1" fontId="39" fillId="0" borderId="2" xfId="0" applyNumberFormat="1" applyFont="1" applyFill="1" applyBorder="1" applyAlignment="1">
      <alignment horizontal="center" vertical="center"/>
    </xf>
    <xf numFmtId="3" fontId="39" fillId="0" borderId="2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left"/>
    </xf>
    <xf numFmtId="169" fontId="6" fillId="0" borderId="1" xfId="1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49" fontId="38" fillId="0" borderId="2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1" fillId="2" borderId="1" xfId="0" applyFont="1" applyFill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0" fontId="16" fillId="11" borderId="2" xfId="0" applyNumberFormat="1" applyFont="1" applyFill="1" applyBorder="1" applyAlignment="1">
      <alignment horizontal="center" vertical="center" wrapText="1"/>
    </xf>
    <xf numFmtId="1" fontId="23" fillId="0" borderId="0" xfId="0" applyNumberFormat="1" applyFont="1" applyFill="1"/>
    <xf numFmtId="1" fontId="23" fillId="0" borderId="0" xfId="0" applyNumberFormat="1" applyFont="1" applyFill="1" applyBorder="1" applyAlignment="1">
      <alignment wrapText="1"/>
    </xf>
    <xf numFmtId="43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/>
    </xf>
    <xf numFmtId="3" fontId="36" fillId="11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2" fontId="36" fillId="11" borderId="1" xfId="0" applyNumberFormat="1" applyFont="1" applyFill="1" applyBorder="1" applyAlignment="1">
      <alignment vertical="center" wrapText="1"/>
    </xf>
    <xf numFmtId="174" fontId="6" fillId="0" borderId="1" xfId="1" applyNumberFormat="1" applyFont="1" applyFill="1" applyBorder="1" applyAlignment="1">
      <alignment horizontal="left" vertical="center" wrapText="1"/>
    </xf>
    <xf numFmtId="174" fontId="6" fillId="0" borderId="1" xfId="1" applyNumberFormat="1" applyFont="1" applyFill="1" applyBorder="1" applyAlignment="1">
      <alignment horizontal="left" vertical="center"/>
    </xf>
    <xf numFmtId="174" fontId="35" fillId="11" borderId="1" xfId="1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top" wrapText="1"/>
    </xf>
    <xf numFmtId="43" fontId="7" fillId="0" borderId="1" xfId="1" applyFont="1" applyFill="1" applyBorder="1" applyAlignment="1">
      <alignment vertical="center" wrapText="1"/>
    </xf>
    <xf numFmtId="3" fontId="4" fillId="11" borderId="1" xfId="0" applyNumberFormat="1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vertical="center"/>
    </xf>
    <xf numFmtId="0" fontId="36" fillId="4" borderId="1" xfId="0" applyFont="1" applyFill="1" applyBorder="1" applyAlignment="1">
      <alignment vertical="center" wrapText="1"/>
    </xf>
    <xf numFmtId="0" fontId="36" fillId="11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top" wrapText="1"/>
    </xf>
    <xf numFmtId="3" fontId="46" fillId="11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3" fontId="8" fillId="0" borderId="1" xfId="1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43" fontId="14" fillId="0" borderId="1" xfId="1" applyNumberFormat="1" applyFont="1" applyFill="1" applyBorder="1" applyAlignment="1">
      <alignment horizontal="center" vertical="center" wrapText="1"/>
    </xf>
    <xf numFmtId="166" fontId="14" fillId="11" borderId="1" xfId="0" applyNumberFormat="1" applyFont="1" applyFill="1" applyBorder="1" applyAlignment="1">
      <alignment horizontal="center" vertical="center" wrapText="1"/>
    </xf>
    <xf numFmtId="168" fontId="14" fillId="11" borderId="1" xfId="0" applyNumberFormat="1" applyFont="1" applyFill="1" applyBorder="1" applyAlignment="1">
      <alignment vertical="center" wrapText="1"/>
    </xf>
    <xf numFmtId="168" fontId="7" fillId="0" borderId="1" xfId="0" applyNumberFormat="1" applyFont="1" applyFill="1" applyBorder="1" applyAlignment="1">
      <alignment vertical="center" wrapText="1"/>
    </xf>
    <xf numFmtId="43" fontId="7" fillId="0" borderId="1" xfId="1" applyNumberFormat="1" applyFont="1" applyFill="1" applyBorder="1" applyAlignment="1">
      <alignment horizontal="center" wrapText="1"/>
    </xf>
    <xf numFmtId="169" fontId="14" fillId="11" borderId="1" xfId="1" applyNumberFormat="1" applyFont="1" applyFill="1" applyBorder="1" applyAlignment="1">
      <alignment vertical="center" wrapText="1"/>
    </xf>
    <xf numFmtId="170" fontId="7" fillId="0" borderId="1" xfId="1" applyNumberFormat="1" applyFont="1" applyFill="1" applyBorder="1" applyAlignment="1">
      <alignment vertical="center" wrapText="1"/>
    </xf>
    <xf numFmtId="170" fontId="14" fillId="0" borderId="1" xfId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170" fontId="7" fillId="0" borderId="1" xfId="1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72" fontId="33" fillId="11" borderId="1" xfId="1" applyNumberFormat="1" applyFont="1" applyFill="1" applyBorder="1" applyAlignment="1">
      <alignment horizontal="center" wrapText="1"/>
    </xf>
    <xf numFmtId="172" fontId="33" fillId="11" borderId="1" xfId="0" applyNumberFormat="1" applyFont="1" applyFill="1" applyBorder="1" applyAlignment="1">
      <alignment horizontal="center" wrapText="1"/>
    </xf>
    <xf numFmtId="172" fontId="34" fillId="0" borderId="1" xfId="1" applyNumberFormat="1" applyFont="1" applyFill="1" applyBorder="1" applyAlignment="1">
      <alignment horizontal="center" wrapText="1"/>
    </xf>
    <xf numFmtId="172" fontId="34" fillId="0" borderId="1" xfId="0" applyNumberFormat="1" applyFont="1" applyFill="1" applyBorder="1" applyAlignment="1">
      <alignment horizontal="center" wrapText="1"/>
    </xf>
    <xf numFmtId="172" fontId="33" fillId="0" borderId="1" xfId="1" applyNumberFormat="1" applyFont="1" applyFill="1" applyBorder="1" applyAlignment="1">
      <alignment horizontal="center" vertical="center" wrapText="1"/>
    </xf>
    <xf numFmtId="172" fontId="33" fillId="0" borderId="1" xfId="0" applyNumberFormat="1" applyFont="1" applyFill="1" applyBorder="1" applyAlignment="1">
      <alignment horizontal="center" vertical="center" wrapText="1"/>
    </xf>
    <xf numFmtId="172" fontId="34" fillId="0" borderId="1" xfId="0" applyNumberFormat="1" applyFont="1" applyFill="1" applyBorder="1"/>
    <xf numFmtId="0" fontId="17" fillId="8" borderId="0" xfId="0" applyFont="1" applyFill="1"/>
    <xf numFmtId="43" fontId="17" fillId="8" borderId="0" xfId="0" applyNumberFormat="1" applyFont="1" applyFill="1" applyAlignment="1">
      <alignment vertical="center"/>
    </xf>
    <xf numFmtId="0" fontId="16" fillId="8" borderId="1" xfId="0" applyFont="1" applyFill="1" applyBorder="1"/>
    <xf numFmtId="0" fontId="17" fillId="8" borderId="1" xfId="0" applyFont="1" applyFill="1" applyBorder="1"/>
    <xf numFmtId="0" fontId="15" fillId="11" borderId="1" xfId="0" applyFont="1" applyFill="1" applyBorder="1" applyAlignment="1">
      <alignment horizontal="center" vertical="center"/>
    </xf>
    <xf numFmtId="43" fontId="35" fillId="11" borderId="1" xfId="1" applyFont="1" applyFill="1" applyBorder="1" applyAlignment="1">
      <alignment horizontal="center" wrapText="1"/>
    </xf>
    <xf numFmtId="172" fontId="14" fillId="11" borderId="1" xfId="0" applyNumberFormat="1" applyFont="1" applyFill="1" applyBorder="1" applyAlignment="1">
      <alignment vertical="center"/>
    </xf>
    <xf numFmtId="172" fontId="7" fillId="11" borderId="1" xfId="0" applyNumberFormat="1" applyFont="1" applyFill="1" applyBorder="1" applyAlignment="1">
      <alignment vertical="center"/>
    </xf>
    <xf numFmtId="0" fontId="2" fillId="11" borderId="0" xfId="0" applyFont="1" applyFill="1" applyAlignment="1">
      <alignment vertical="center"/>
    </xf>
    <xf numFmtId="0" fontId="4" fillId="11" borderId="1" xfId="0" applyFont="1" applyFill="1" applyBorder="1" applyAlignment="1">
      <alignment horizontal="center" wrapText="1"/>
    </xf>
    <xf numFmtId="168" fontId="7" fillId="11" borderId="1" xfId="0" applyNumberFormat="1" applyFont="1" applyFill="1" applyBorder="1" applyAlignment="1">
      <alignment horizontal="center" wrapText="1"/>
    </xf>
    <xf numFmtId="43" fontId="17" fillId="11" borderId="1" xfId="1" applyFont="1" applyFill="1" applyBorder="1"/>
    <xf numFmtId="0" fontId="15" fillId="11" borderId="1" xfId="0" applyFont="1" applyFill="1" applyBorder="1" applyAlignment="1">
      <alignment vertical="center"/>
    </xf>
    <xf numFmtId="171" fontId="6" fillId="11" borderId="1" xfId="1" applyNumberFormat="1" applyFont="1" applyFill="1" applyBorder="1" applyAlignment="1">
      <alignment vertical="center" wrapText="1"/>
    </xf>
    <xf numFmtId="43" fontId="6" fillId="11" borderId="1" xfId="1" applyNumberFormat="1" applyFont="1" applyFill="1" applyBorder="1" applyAlignment="1">
      <alignment vertical="center" wrapText="1"/>
    </xf>
    <xf numFmtId="43" fontId="6" fillId="11" borderId="1" xfId="1" applyNumberFormat="1" applyFont="1" applyFill="1" applyBorder="1" applyAlignment="1">
      <alignment horizontal="center" vertical="center" wrapText="1"/>
    </xf>
    <xf numFmtId="169" fontId="6" fillId="11" borderId="1" xfId="1" applyNumberFormat="1" applyFont="1" applyFill="1" applyBorder="1" applyAlignment="1">
      <alignment vertical="center" wrapText="1"/>
    </xf>
    <xf numFmtId="0" fontId="2" fillId="11" borderId="0" xfId="0" applyFont="1" applyFill="1" applyAlignment="1">
      <alignment horizontal="center" vertical="center"/>
    </xf>
    <xf numFmtId="43" fontId="14" fillId="11" borderId="1" xfId="1" applyNumberFormat="1" applyFont="1" applyFill="1" applyBorder="1" applyAlignment="1">
      <alignment horizontal="center" vertical="center" wrapText="1"/>
    </xf>
    <xf numFmtId="43" fontId="14" fillId="11" borderId="1" xfId="0" applyNumberFormat="1" applyFont="1" applyFill="1" applyBorder="1" applyAlignment="1">
      <alignment horizontal="center" vertical="center" wrapText="1"/>
    </xf>
    <xf numFmtId="43" fontId="7" fillId="0" borderId="1" xfId="1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171" fontId="7" fillId="0" borderId="1" xfId="1" applyNumberFormat="1" applyFont="1" applyFill="1" applyBorder="1" applyAlignment="1">
      <alignment horizontal="center" wrapText="1"/>
    </xf>
    <xf numFmtId="171" fontId="14" fillId="11" borderId="1" xfId="1" applyNumberFormat="1" applyFont="1" applyFill="1" applyBorder="1" applyAlignment="1">
      <alignment horizontal="center" vertical="center" wrapText="1"/>
    </xf>
    <xf numFmtId="171" fontId="14" fillId="11" borderId="1" xfId="0" applyNumberFormat="1" applyFont="1" applyFill="1" applyBorder="1" applyAlignment="1">
      <alignment horizontal="center" vertical="center" wrapText="1"/>
    </xf>
    <xf numFmtId="171" fontId="7" fillId="11" borderId="1" xfId="1" applyNumberFormat="1" applyFont="1" applyFill="1" applyBorder="1" applyAlignment="1">
      <alignment horizontal="center" vertical="center" wrapText="1"/>
    </xf>
    <xf numFmtId="171" fontId="7" fillId="0" borderId="1" xfId="1" applyNumberFormat="1" applyFont="1" applyFill="1" applyBorder="1" applyAlignment="1">
      <alignment horizontal="center" vertical="center" wrapText="1"/>
    </xf>
    <xf numFmtId="171" fontId="7" fillId="0" borderId="1" xfId="0" applyNumberFormat="1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top" wrapText="1"/>
    </xf>
    <xf numFmtId="43" fontId="6" fillId="11" borderId="1" xfId="1" applyFont="1" applyFill="1" applyBorder="1" applyAlignment="1">
      <alignment horizontal="center" wrapText="1"/>
    </xf>
    <xf numFmtId="171" fontId="35" fillId="11" borderId="1" xfId="0" applyNumberFormat="1" applyFont="1" applyFill="1" applyBorder="1" applyAlignment="1">
      <alignment vertical="center" wrapText="1"/>
    </xf>
    <xf numFmtId="171" fontId="6" fillId="11" borderId="1" xfId="1" applyNumberFormat="1" applyFont="1" applyFill="1" applyBorder="1" applyAlignment="1">
      <alignment horizontal="center" vertical="center" wrapText="1"/>
    </xf>
    <xf numFmtId="171" fontId="6" fillId="0" borderId="1" xfId="0" applyNumberFormat="1" applyFont="1" applyFill="1" applyBorder="1" applyAlignment="1">
      <alignment horizontal="center" vertical="center" wrapText="1"/>
    </xf>
    <xf numFmtId="171" fontId="35" fillId="0" borderId="1" xfId="0" applyNumberFormat="1" applyFont="1" applyFill="1" applyBorder="1" applyAlignment="1">
      <alignment vertical="center" wrapText="1"/>
    </xf>
    <xf numFmtId="43" fontId="35" fillId="11" borderId="1" xfId="1" applyNumberFormat="1" applyFont="1" applyFill="1" applyBorder="1" applyAlignment="1">
      <alignment horizontal="center" vertical="center" wrapText="1"/>
    </xf>
    <xf numFmtId="43" fontId="14" fillId="0" borderId="1" xfId="1" applyNumberFormat="1" applyFont="1" applyFill="1" applyBorder="1" applyAlignment="1">
      <alignment horizontal="center" wrapText="1"/>
    </xf>
    <xf numFmtId="43" fontId="14" fillId="11" borderId="1" xfId="0" applyNumberFormat="1" applyFont="1" applyFill="1" applyBorder="1" applyAlignment="1">
      <alignment horizontal="center" wrapText="1"/>
    </xf>
    <xf numFmtId="43" fontId="35" fillId="11" borderId="2" xfId="1" applyNumberFormat="1" applyFont="1" applyFill="1" applyBorder="1" applyAlignment="1">
      <alignment horizontal="center" vertical="center" wrapText="1"/>
    </xf>
    <xf numFmtId="43" fontId="14" fillId="11" borderId="1" xfId="1" applyNumberFormat="1" applyFont="1" applyFill="1" applyBorder="1" applyAlignment="1">
      <alignment horizontal="center" wrapText="1"/>
    </xf>
    <xf numFmtId="43" fontId="35" fillId="11" borderId="2" xfId="0" applyNumberFormat="1" applyFont="1" applyFill="1" applyBorder="1" applyAlignment="1">
      <alignment vertical="center" wrapText="1"/>
    </xf>
    <xf numFmtId="43" fontId="7" fillId="0" borderId="1" xfId="0" applyNumberFormat="1" applyFont="1" applyFill="1" applyBorder="1" applyAlignment="1">
      <alignment horizontal="center" wrapText="1"/>
    </xf>
    <xf numFmtId="43" fontId="7" fillId="0" borderId="8" xfId="1" applyNumberFormat="1" applyFont="1" applyFill="1" applyBorder="1" applyAlignment="1">
      <alignment horizontal="center" wrapText="1"/>
    </xf>
    <xf numFmtId="43" fontId="14" fillId="0" borderId="1" xfId="0" applyNumberFormat="1" applyFont="1" applyFill="1" applyBorder="1" applyAlignment="1">
      <alignment horizontal="center" wrapText="1"/>
    </xf>
    <xf numFmtId="43" fontId="14" fillId="0" borderId="8" xfId="1" applyNumberFormat="1" applyFont="1" applyFill="1" applyBorder="1" applyAlignment="1">
      <alignment horizontal="center" wrapText="1"/>
    </xf>
    <xf numFmtId="43" fontId="35" fillId="0" borderId="1" xfId="0" applyNumberFormat="1" applyFont="1" applyFill="1" applyBorder="1" applyAlignment="1">
      <alignment vertical="center" wrapText="1"/>
    </xf>
    <xf numFmtId="0" fontId="4" fillId="11" borderId="1" xfId="0" applyFont="1" applyFill="1" applyBorder="1" applyAlignment="1">
      <alignment horizontal="center" vertical="center"/>
    </xf>
    <xf numFmtId="0" fontId="36" fillId="11" borderId="1" xfId="0" applyFont="1" applyFill="1" applyBorder="1" applyAlignment="1">
      <alignment horizontal="center"/>
    </xf>
    <xf numFmtId="0" fontId="46" fillId="11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73" fontId="17" fillId="8" borderId="1" xfId="0" applyNumberFormat="1" applyFont="1" applyFill="1" applyBorder="1"/>
    <xf numFmtId="175" fontId="17" fillId="8" borderId="1" xfId="0" applyNumberFormat="1" applyFont="1" applyFill="1" applyBorder="1"/>
    <xf numFmtId="176" fontId="14" fillId="11" borderId="1" xfId="1" applyNumberFormat="1" applyFont="1" applyFill="1" applyBorder="1" applyAlignment="1">
      <alignment horizontal="center" wrapText="1"/>
    </xf>
    <xf numFmtId="177" fontId="14" fillId="11" borderId="1" xfId="1" applyNumberFormat="1" applyFont="1" applyFill="1" applyBorder="1" applyAlignment="1">
      <alignment horizontal="center" vertical="center" wrapText="1"/>
    </xf>
    <xf numFmtId="177" fontId="7" fillId="11" borderId="1" xfId="1" applyNumberFormat="1" applyFont="1" applyFill="1" applyBorder="1" applyAlignment="1">
      <alignment horizontal="center" vertical="center" wrapText="1"/>
    </xf>
    <xf numFmtId="177" fontId="7" fillId="0" borderId="1" xfId="1" applyNumberFormat="1" applyFont="1" applyFill="1" applyBorder="1" applyAlignment="1">
      <alignment horizontal="center" vertical="center" wrapText="1"/>
    </xf>
    <xf numFmtId="167" fontId="14" fillId="11" borderId="1" xfId="1" applyNumberFormat="1" applyFont="1" applyFill="1" applyBorder="1" applyAlignment="1">
      <alignment horizontal="center" vertical="center" wrapText="1"/>
    </xf>
    <xf numFmtId="171" fontId="35" fillId="11" borderId="1" xfId="1" applyNumberFormat="1" applyFont="1" applyFill="1" applyBorder="1" applyAlignment="1">
      <alignment horizontal="center" wrapText="1"/>
    </xf>
    <xf numFmtId="171" fontId="35" fillId="11" borderId="1" xfId="1" applyNumberFormat="1" applyFont="1" applyFill="1" applyBorder="1" applyAlignment="1">
      <alignment horizontal="center" vertical="center" wrapText="1"/>
    </xf>
    <xf numFmtId="171" fontId="6" fillId="11" borderId="1" xfId="1" applyNumberFormat="1" applyFont="1" applyFill="1" applyBorder="1" applyAlignment="1">
      <alignment horizontal="center" wrapText="1"/>
    </xf>
    <xf numFmtId="171" fontId="6" fillId="0" borderId="1" xfId="1" applyNumberFormat="1" applyFont="1" applyFill="1" applyBorder="1" applyAlignment="1">
      <alignment horizontal="center" wrapText="1"/>
    </xf>
    <xf numFmtId="43" fontId="7" fillId="11" borderId="1" xfId="1" applyNumberFormat="1" applyFont="1" applyFill="1" applyBorder="1" applyAlignment="1">
      <alignment horizontal="center" vertical="center" wrapText="1"/>
    </xf>
    <xf numFmtId="171" fontId="7" fillId="11" borderId="1" xfId="1" applyNumberFormat="1" applyFont="1" applyFill="1" applyBorder="1" applyAlignment="1">
      <alignment wrapText="1"/>
    </xf>
    <xf numFmtId="2" fontId="36" fillId="8" borderId="1" xfId="0" applyNumberFormat="1" applyFont="1" applyFill="1" applyBorder="1" applyAlignment="1">
      <alignment vertical="center" wrapText="1"/>
    </xf>
    <xf numFmtId="1" fontId="14" fillId="11" borderId="1" xfId="1" applyNumberFormat="1" applyFont="1" applyFill="1" applyBorder="1" applyAlignment="1">
      <alignment horizontal="center" vertical="center" wrapText="1"/>
    </xf>
    <xf numFmtId="1" fontId="7" fillId="11" borderId="1" xfId="0" applyNumberFormat="1" applyFont="1" applyFill="1" applyBorder="1" applyAlignment="1">
      <alignment horizontal="center" vertical="center" wrapText="1"/>
    </xf>
    <xf numFmtId="1" fontId="14" fillId="11" borderId="1" xfId="0" applyNumberFormat="1" applyFont="1" applyFill="1" applyBorder="1" applyAlignment="1">
      <alignment horizontal="center" vertical="center" wrapText="1"/>
    </xf>
    <xf numFmtId="1" fontId="7" fillId="11" borderId="1" xfId="1" applyNumberFormat="1" applyFont="1" applyFill="1" applyBorder="1" applyAlignment="1">
      <alignment horizontal="center" vertical="center" wrapText="1"/>
    </xf>
    <xf numFmtId="1" fontId="33" fillId="11" borderId="1" xfId="0" applyNumberFormat="1" applyFont="1" applyFill="1" applyBorder="1" applyAlignment="1">
      <alignment horizontal="center" vertical="center" wrapText="1"/>
    </xf>
    <xf numFmtId="1" fontId="34" fillId="11" borderId="1" xfId="0" applyNumberFormat="1" applyFont="1" applyFill="1" applyBorder="1" applyAlignment="1">
      <alignment horizontal="center" vertical="center" wrapText="1"/>
    </xf>
    <xf numFmtId="1" fontId="34" fillId="11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3" fillId="11" borderId="1" xfId="0" applyNumberFormat="1" applyFont="1" applyFill="1" applyBorder="1" applyAlignment="1">
      <alignment horizontal="center" vertical="center"/>
    </xf>
    <xf numFmtId="1" fontId="17" fillId="11" borderId="1" xfId="0" applyNumberFormat="1" applyFont="1" applyFill="1" applyBorder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15" fillId="11" borderId="1" xfId="0" applyFont="1" applyFill="1" applyBorder="1"/>
    <xf numFmtId="43" fontId="7" fillId="11" borderId="1" xfId="0" applyNumberFormat="1" applyFont="1" applyFill="1" applyBorder="1" applyAlignment="1">
      <alignment horizontal="center" wrapText="1"/>
    </xf>
    <xf numFmtId="172" fontId="34" fillId="11" borderId="1" xfId="0" applyNumberFormat="1" applyFont="1" applyFill="1" applyBorder="1" applyAlignment="1">
      <alignment horizontal="center" wrapText="1"/>
    </xf>
    <xf numFmtId="172" fontId="33" fillId="11" borderId="1" xfId="0" applyNumberFormat="1" applyFont="1" applyFill="1" applyBorder="1" applyAlignment="1">
      <alignment horizontal="center" vertical="center" wrapText="1"/>
    </xf>
    <xf numFmtId="172" fontId="34" fillId="11" borderId="1" xfId="0" applyNumberFormat="1" applyFont="1" applyFill="1" applyBorder="1"/>
    <xf numFmtId="0" fontId="3" fillId="11" borderId="0" xfId="0" applyFont="1" applyFill="1" applyAlignment="1">
      <alignment horizontal="center"/>
    </xf>
    <xf numFmtId="164" fontId="14" fillId="11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7" fillId="11" borderId="1" xfId="1" applyNumberFormat="1" applyFont="1" applyFill="1" applyBorder="1" applyAlignment="1">
      <alignment vertical="center" wrapText="1"/>
    </xf>
    <xf numFmtId="164" fontId="7" fillId="11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vertical="center"/>
    </xf>
    <xf numFmtId="0" fontId="14" fillId="11" borderId="1" xfId="0" applyFont="1" applyFill="1" applyBorder="1" applyAlignment="1">
      <alignment horizontal="center" vertical="center" wrapText="1"/>
    </xf>
    <xf numFmtId="164" fontId="14" fillId="11" borderId="1" xfId="0" applyNumberFormat="1" applyFont="1" applyFill="1" applyBorder="1" applyAlignment="1">
      <alignment horizontal="center" vertical="center" wrapText="1"/>
    </xf>
    <xf numFmtId="176" fontId="7" fillId="11" borderId="1" xfId="1" applyNumberFormat="1" applyFont="1" applyFill="1" applyBorder="1" applyAlignment="1">
      <alignment horizontal="center" vertical="center" wrapText="1"/>
    </xf>
    <xf numFmtId="176" fontId="7" fillId="0" borderId="1" xfId="1" applyNumberFormat="1" applyFont="1" applyFill="1" applyBorder="1" applyAlignment="1">
      <alignment horizontal="center" vertical="center" wrapText="1"/>
    </xf>
    <xf numFmtId="164" fontId="23" fillId="0" borderId="0" xfId="0" applyNumberFormat="1" applyFont="1" applyFill="1"/>
    <xf numFmtId="0" fontId="23" fillId="11" borderId="0" xfId="0" applyFont="1" applyFill="1" applyAlignment="1">
      <alignment horizontal="left"/>
    </xf>
    <xf numFmtId="0" fontId="24" fillId="11" borderId="0" xfId="0" applyFont="1" applyFill="1" applyAlignment="1">
      <alignment horizontal="left"/>
    </xf>
    <xf numFmtId="3" fontId="35" fillId="0" borderId="1" xfId="0" applyNumberFormat="1" applyFont="1" applyFill="1" applyBorder="1" applyAlignment="1">
      <alignment horizontal="center" vertical="center" wrapText="1"/>
    </xf>
    <xf numFmtId="0" fontId="2" fillId="15" borderId="0" xfId="0" applyFont="1" applyFill="1" applyAlignment="1">
      <alignment wrapText="1"/>
    </xf>
    <xf numFmtId="10" fontId="2" fillId="0" borderId="0" xfId="0" applyNumberFormat="1" applyFont="1" applyFill="1" applyAlignment="1">
      <alignment wrapText="1"/>
    </xf>
    <xf numFmtId="3" fontId="32" fillId="0" borderId="1" xfId="0" applyNumberFormat="1" applyFont="1" applyFill="1" applyBorder="1" applyAlignment="1">
      <alignment horizontal="center" vertical="center" wrapText="1"/>
    </xf>
    <xf numFmtId="3" fontId="47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49" fontId="47" fillId="0" borderId="1" xfId="0" applyNumberFormat="1" applyFont="1" applyFill="1" applyBorder="1" applyAlignment="1">
      <alignment horizontal="center" vertical="center" wrapText="1"/>
    </xf>
    <xf numFmtId="49" fontId="47" fillId="0" borderId="1" xfId="0" applyNumberFormat="1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wrapText="1"/>
    </xf>
    <xf numFmtId="3" fontId="31" fillId="0" borderId="1" xfId="0" applyNumberFormat="1" applyFont="1" applyBorder="1" applyAlignment="1">
      <alignment vertical="top" wrapText="1"/>
    </xf>
    <xf numFmtId="0" fontId="3" fillId="5" borderId="1" xfId="0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 wrapText="1"/>
    </xf>
    <xf numFmtId="0" fontId="0" fillId="0" borderId="0" xfId="0" applyAlignment="1">
      <alignment textRotation="90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textRotation="90"/>
    </xf>
    <xf numFmtId="0" fontId="0" fillId="0" borderId="1" xfId="0" applyFill="1" applyBorder="1"/>
    <xf numFmtId="164" fontId="35" fillId="11" borderId="1" xfId="1" applyNumberFormat="1" applyFont="1" applyFill="1" applyBorder="1" applyAlignment="1">
      <alignment horizontal="center" vertical="center" wrapText="1"/>
    </xf>
    <xf numFmtId="1" fontId="6" fillId="11" borderId="1" xfId="1" applyNumberFormat="1" applyFont="1" applyFill="1" applyBorder="1" applyAlignment="1">
      <alignment horizontal="center" vertical="center" wrapText="1"/>
    </xf>
    <xf numFmtId="164" fontId="35" fillId="11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/>
    <xf numFmtId="0" fontId="0" fillId="16" borderId="1" xfId="0" applyFill="1" applyBorder="1"/>
    <xf numFmtId="0" fontId="0" fillId="16" borderId="1" xfId="0" applyFill="1" applyBorder="1" applyAlignment="1"/>
    <xf numFmtId="0" fontId="0" fillId="11" borderId="1" xfId="0" applyFill="1" applyBorder="1"/>
    <xf numFmtId="0" fontId="0" fillId="11" borderId="1" xfId="0" applyFill="1" applyBorder="1" applyAlignment="1"/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7" borderId="1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0" fillId="7" borderId="16" xfId="0" applyNumberFormat="1" applyFill="1" applyBorder="1" applyAlignment="1">
      <alignment horizont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1" xfId="0" applyNumberFormat="1" applyBorder="1"/>
    <xf numFmtId="3" fontId="0" fillId="0" borderId="1" xfId="0" applyNumberFormat="1" applyBorder="1" applyAlignment="1">
      <alignment horizontal="center" vertical="center"/>
    </xf>
    <xf numFmtId="0" fontId="17" fillId="0" borderId="0" xfId="0" applyFont="1" applyFill="1" applyAlignment="1">
      <alignment wrapText="1"/>
    </xf>
    <xf numFmtId="0" fontId="17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3" fontId="2" fillId="0" borderId="1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wrapText="1"/>
    </xf>
    <xf numFmtId="1" fontId="14" fillId="11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73" fontId="14" fillId="11" borderId="1" xfId="0" applyNumberFormat="1" applyFont="1" applyFill="1" applyBorder="1" applyAlignment="1">
      <alignment vertical="center"/>
    </xf>
    <xf numFmtId="173" fontId="7" fillId="11" borderId="1" xfId="0" applyNumberFormat="1" applyFont="1" applyFill="1" applyBorder="1" applyAlignment="1">
      <alignment vertical="center"/>
    </xf>
    <xf numFmtId="1" fontId="17" fillId="8" borderId="1" xfId="0" applyNumberFormat="1" applyFont="1" applyFill="1" applyBorder="1"/>
    <xf numFmtId="0" fontId="3" fillId="0" borderId="1" xfId="0" applyFont="1" applyBorder="1" applyAlignment="1">
      <alignment horizontal="right"/>
    </xf>
    <xf numFmtId="3" fontId="3" fillId="0" borderId="1" xfId="0" applyNumberFormat="1" applyFont="1" applyBorder="1"/>
    <xf numFmtId="4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78" fontId="6" fillId="0" borderId="1" xfId="1" applyNumberFormat="1" applyFont="1" applyFill="1" applyBorder="1" applyAlignment="1">
      <alignment vertical="center" wrapText="1"/>
    </xf>
    <xf numFmtId="0" fontId="5" fillId="0" borderId="7" xfId="0" applyFont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38" fillId="0" borderId="1" xfId="0" applyFont="1" applyBorder="1" applyAlignment="1">
      <alignment horizontal="center" wrapText="1"/>
    </xf>
    <xf numFmtId="0" fontId="38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/>
    <xf numFmtId="0" fontId="0" fillId="0" borderId="2" xfId="0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5" fillId="7" borderId="1" xfId="0" applyFont="1" applyFill="1" applyBorder="1" applyAlignment="1">
      <alignment wrapText="1"/>
    </xf>
    <xf numFmtId="0" fontId="49" fillId="7" borderId="0" xfId="0" applyFont="1" applyFill="1"/>
    <xf numFmtId="0" fontId="31" fillId="0" borderId="1" xfId="0" applyFont="1" applyFill="1" applyBorder="1" applyAlignment="1">
      <alignment horizontal="left" vertical="top" wrapText="1"/>
    </xf>
    <xf numFmtId="0" fontId="2" fillId="7" borderId="0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vertical="top" wrapText="1"/>
    </xf>
    <xf numFmtId="0" fontId="31" fillId="2" borderId="4" xfId="0" applyFont="1" applyFill="1" applyBorder="1" applyAlignment="1">
      <alignment horizontal="left" vertical="top" wrapText="1"/>
    </xf>
    <xf numFmtId="49" fontId="38" fillId="0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horizontal="center" wrapText="1"/>
    </xf>
    <xf numFmtId="43" fontId="7" fillId="11" borderId="1" xfId="1" applyFont="1" applyFill="1" applyBorder="1" applyAlignment="1">
      <alignment vertical="center" wrapText="1"/>
    </xf>
    <xf numFmtId="4" fontId="35" fillId="11" borderId="1" xfId="0" applyNumberFormat="1" applyFont="1" applyFill="1" applyBorder="1" applyAlignment="1">
      <alignment horizontal="center" vertical="center" wrapText="1"/>
    </xf>
    <xf numFmtId="3" fontId="2" fillId="11" borderId="1" xfId="0" applyNumberFormat="1" applyFont="1" applyFill="1" applyBorder="1" applyAlignment="1">
      <alignment horizontal="center" wrapText="1"/>
    </xf>
    <xf numFmtId="0" fontId="50" fillId="0" borderId="1" xfId="0" applyFont="1" applyBorder="1" applyAlignment="1">
      <alignment horizontal="center"/>
    </xf>
    <xf numFmtId="0" fontId="50" fillId="0" borderId="1" xfId="0" applyFont="1" applyBorder="1" applyAlignment="1">
      <alignment horizontal="center" wrapText="1"/>
    </xf>
    <xf numFmtId="0" fontId="51" fillId="0" borderId="1" xfId="0" applyFont="1" applyBorder="1" applyAlignment="1">
      <alignment horizontal="left"/>
    </xf>
    <xf numFmtId="0" fontId="50" fillId="0" borderId="1" xfId="0" applyFont="1" applyBorder="1" applyAlignment="1">
      <alignment horizontal="left"/>
    </xf>
    <xf numFmtId="0" fontId="50" fillId="0" borderId="1" xfId="0" applyFont="1" applyBorder="1"/>
    <xf numFmtId="0" fontId="51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51" fillId="2" borderId="1" xfId="0" applyFont="1" applyFill="1" applyBorder="1" applyAlignment="1">
      <alignment horizontal="center" wrapText="1"/>
    </xf>
    <xf numFmtId="0" fontId="0" fillId="2" borderId="0" xfId="0" applyFill="1" applyAlignment="1">
      <alignment wrapText="1"/>
    </xf>
    <xf numFmtId="0" fontId="50" fillId="4" borderId="1" xfId="0" applyFont="1" applyFill="1" applyBorder="1" applyAlignment="1">
      <alignment horizontal="center" wrapText="1"/>
    </xf>
    <xf numFmtId="49" fontId="51" fillId="0" borderId="1" xfId="0" applyNumberFormat="1" applyFont="1" applyBorder="1" applyAlignment="1">
      <alignment horizontal="center" wrapText="1"/>
    </xf>
    <xf numFmtId="165" fontId="50" fillId="4" borderId="1" xfId="0" applyNumberFormat="1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 wrapText="1"/>
    </xf>
    <xf numFmtId="0" fontId="50" fillId="13" borderId="1" xfId="0" applyFont="1" applyFill="1" applyBorder="1" applyAlignment="1">
      <alignment horizontal="center" wrapText="1"/>
    </xf>
    <xf numFmtId="0" fontId="0" fillId="13" borderId="0" xfId="0" applyFill="1" applyAlignment="1">
      <alignment wrapText="1"/>
    </xf>
    <xf numFmtId="0" fontId="9" fillId="3" borderId="8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textRotation="90" wrapText="1"/>
    </xf>
    <xf numFmtId="0" fontId="48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/>
    </xf>
    <xf numFmtId="1" fontId="53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17" borderId="1" xfId="0" applyNumberFormat="1" applyFill="1" applyBorder="1" applyAlignment="1">
      <alignment horizontal="center" vertical="center"/>
    </xf>
    <xf numFmtId="0" fontId="0" fillId="17" borderId="1" xfId="0" applyFill="1" applyBorder="1" applyAlignment="1">
      <alignment horizontal="center" vertical="center"/>
    </xf>
    <xf numFmtId="165" fontId="49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/>
    </xf>
    <xf numFmtId="165" fontId="53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0" fontId="0" fillId="0" borderId="0" xfId="0" applyFill="1"/>
    <xf numFmtId="0" fontId="54" fillId="0" borderId="24" xfId="0" applyFont="1" applyBorder="1" applyAlignment="1">
      <alignment horizontal="center" wrapText="1"/>
    </xf>
    <xf numFmtId="0" fontId="54" fillId="0" borderId="13" xfId="0" applyFont="1" applyBorder="1" applyAlignment="1">
      <alignment horizontal="center" wrapText="1"/>
    </xf>
    <xf numFmtId="0" fontId="54" fillId="0" borderId="24" xfId="0" applyFont="1" applyBorder="1" applyAlignment="1">
      <alignment wrapText="1"/>
    </xf>
    <xf numFmtId="0" fontId="0" fillId="0" borderId="13" xfId="0" applyBorder="1" applyAlignment="1">
      <alignment wrapText="1"/>
    </xf>
    <xf numFmtId="0" fontId="54" fillId="0" borderId="24" xfId="0" applyFont="1" applyBorder="1" applyAlignment="1">
      <alignment horizontal="left" wrapText="1"/>
    </xf>
    <xf numFmtId="0" fontId="0" fillId="0" borderId="24" xfId="0" applyBorder="1" applyAlignment="1">
      <alignment wrapText="1"/>
    </xf>
    <xf numFmtId="0" fontId="55" fillId="0" borderId="24" xfId="0" applyFont="1" applyBorder="1" applyAlignment="1">
      <alignment wrapText="1"/>
    </xf>
    <xf numFmtId="0" fontId="0" fillId="0" borderId="2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53" fillId="0" borderId="1" xfId="0" applyFont="1" applyBorder="1" applyAlignment="1">
      <alignment horizontal="left" vertical="center" wrapText="1"/>
    </xf>
    <xf numFmtId="0" fontId="5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53" fillId="0" borderId="1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wrapText="1"/>
    </xf>
    <xf numFmtId="0" fontId="51" fillId="0" borderId="1" xfId="0" applyFont="1" applyFill="1" applyBorder="1" applyAlignment="1">
      <alignment horizontal="center" wrapText="1"/>
    </xf>
    <xf numFmtId="0" fontId="51" fillId="0" borderId="1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50" fillId="0" borderId="1" xfId="0" applyFont="1" applyFill="1" applyBorder="1" applyAlignment="1">
      <alignment horizontal="center" wrapText="1"/>
    </xf>
    <xf numFmtId="0" fontId="50" fillId="0" borderId="3" xfId="0" applyFont="1" applyFill="1" applyBorder="1" applyAlignment="1">
      <alignment horizontal="center" vertical="center" wrapText="1"/>
    </xf>
    <xf numFmtId="1" fontId="50" fillId="0" borderId="3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wrapText="1"/>
    </xf>
    <xf numFmtId="165" fontId="50" fillId="0" borderId="1" xfId="0" applyNumberFormat="1" applyFont="1" applyFill="1" applyBorder="1" applyAlignment="1">
      <alignment horizontal="center" wrapText="1"/>
    </xf>
    <xf numFmtId="1" fontId="50" fillId="0" borderId="1" xfId="0" applyNumberFormat="1" applyFont="1" applyFill="1" applyBorder="1" applyAlignment="1">
      <alignment horizontal="center" wrapText="1"/>
    </xf>
    <xf numFmtId="0" fontId="46" fillId="0" borderId="1" xfId="0" applyFont="1" applyFill="1" applyBorder="1" applyAlignment="1">
      <alignment horizontal="left" wrapText="1"/>
    </xf>
    <xf numFmtId="0" fontId="0" fillId="0" borderId="0" xfId="0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textRotation="90" wrapText="1"/>
    </xf>
    <xf numFmtId="165" fontId="0" fillId="0" borderId="1" xfId="0" applyNumberFormat="1" applyFill="1" applyBorder="1" applyAlignment="1">
      <alignment horizontal="center" vertical="center" wrapText="1"/>
    </xf>
    <xf numFmtId="49" fontId="51" fillId="0" borderId="1" xfId="0" applyNumberFormat="1" applyFont="1" applyFill="1" applyBorder="1" applyAlignment="1">
      <alignment horizontal="center" wrapText="1"/>
    </xf>
    <xf numFmtId="0" fontId="50" fillId="0" borderId="3" xfId="0" applyFont="1" applyFill="1" applyBorder="1" applyAlignment="1">
      <alignment horizontal="center" wrapText="1"/>
    </xf>
    <xf numFmtId="49" fontId="50" fillId="0" borderId="1" xfId="0" applyNumberFormat="1" applyFont="1" applyFill="1" applyBorder="1" applyAlignment="1">
      <alignment horizontal="left" wrapText="1"/>
    </xf>
    <xf numFmtId="0" fontId="50" fillId="0" borderId="2" xfId="0" applyFont="1" applyFill="1" applyBorder="1" applyAlignment="1">
      <alignment horizontal="center" wrapText="1"/>
    </xf>
    <xf numFmtId="0" fontId="62" fillId="0" borderId="0" xfId="0" applyFont="1" applyFill="1" applyBorder="1" applyAlignment="1">
      <alignment horizontal="center" wrapText="1"/>
    </xf>
    <xf numFmtId="0" fontId="61" fillId="0" borderId="3" xfId="0" applyFont="1" applyFill="1" applyBorder="1" applyAlignment="1">
      <alignment wrapText="1"/>
    </xf>
    <xf numFmtId="0" fontId="62" fillId="0" borderId="34" xfId="0" applyFont="1" applyFill="1" applyBorder="1" applyAlignment="1">
      <alignment wrapText="1"/>
    </xf>
    <xf numFmtId="0" fontId="62" fillId="0" borderId="35" xfId="0" applyFont="1" applyFill="1" applyBorder="1" applyAlignment="1">
      <alignment horizontal="center" wrapText="1"/>
    </xf>
    <xf numFmtId="0" fontId="62" fillId="0" borderId="13" xfId="0" applyFont="1" applyFill="1" applyBorder="1" applyAlignment="1">
      <alignment horizontal="center" wrapText="1"/>
    </xf>
    <xf numFmtId="0" fontId="62" fillId="0" borderId="24" xfId="0" applyFont="1" applyFill="1" applyBorder="1" applyAlignment="1">
      <alignment horizontal="center" wrapText="1"/>
    </xf>
    <xf numFmtId="0" fontId="62" fillId="0" borderId="32" xfId="0" applyFont="1" applyFill="1" applyBorder="1" applyAlignment="1">
      <alignment horizontal="center" wrapText="1"/>
    </xf>
    <xf numFmtId="0" fontId="62" fillId="0" borderId="36" xfId="0" applyFont="1" applyFill="1" applyBorder="1" applyAlignment="1">
      <alignment horizontal="center" wrapText="1"/>
    </xf>
    <xf numFmtId="0" fontId="61" fillId="0" borderId="1" xfId="0" applyFont="1" applyFill="1" applyBorder="1" applyAlignment="1">
      <alignment wrapText="1"/>
    </xf>
    <xf numFmtId="1" fontId="62" fillId="0" borderId="32" xfId="0" applyNumberFormat="1" applyFont="1" applyFill="1" applyBorder="1" applyAlignment="1">
      <alignment horizontal="center" wrapText="1"/>
    </xf>
    <xf numFmtId="1" fontId="5" fillId="0" borderId="35" xfId="0" applyNumberFormat="1" applyFont="1" applyFill="1" applyBorder="1" applyAlignment="1">
      <alignment horizontal="center" wrapText="1"/>
    </xf>
    <xf numFmtId="165" fontId="5" fillId="0" borderId="13" xfId="0" applyNumberFormat="1" applyFont="1" applyFill="1" applyBorder="1" applyAlignment="1">
      <alignment horizontal="center" wrapText="1"/>
    </xf>
    <xf numFmtId="0" fontId="61" fillId="0" borderId="2" xfId="0" applyFont="1" applyFill="1" applyBorder="1" applyAlignment="1">
      <alignment wrapText="1"/>
    </xf>
    <xf numFmtId="0" fontId="62" fillId="0" borderId="29" xfId="0" applyFont="1" applyFill="1" applyBorder="1" applyAlignment="1">
      <alignment wrapText="1"/>
    </xf>
    <xf numFmtId="0" fontId="62" fillId="0" borderId="14" xfId="0" applyFont="1" applyFill="1" applyBorder="1" applyAlignment="1">
      <alignment horizontal="center" wrapText="1"/>
    </xf>
    <xf numFmtId="0" fontId="62" fillId="0" borderId="37" xfId="0" applyFont="1" applyFill="1" applyBorder="1" applyAlignment="1">
      <alignment horizontal="center" wrapText="1"/>
    </xf>
    <xf numFmtId="1" fontId="5" fillId="0" borderId="0" xfId="0" applyNumberFormat="1" applyFont="1" applyFill="1" applyBorder="1" applyAlignment="1">
      <alignment horizontal="center" wrapText="1"/>
    </xf>
    <xf numFmtId="165" fontId="5" fillId="0" borderId="14" xfId="0" applyNumberFormat="1" applyFont="1" applyFill="1" applyBorder="1" applyAlignment="1">
      <alignment horizontal="center" wrapText="1"/>
    </xf>
    <xf numFmtId="0" fontId="61" fillId="0" borderId="38" xfId="0" applyFont="1" applyFill="1" applyBorder="1" applyAlignment="1">
      <alignment wrapText="1"/>
    </xf>
    <xf numFmtId="0" fontId="5" fillId="0" borderId="39" xfId="0" applyFont="1" applyFill="1" applyBorder="1" applyAlignment="1">
      <alignment horizontal="center" wrapText="1"/>
    </xf>
    <xf numFmtId="0" fontId="5" fillId="0" borderId="39" xfId="0" applyFont="1" applyFill="1" applyBorder="1" applyAlignment="1">
      <alignment horizontal="center" textRotation="90" wrapText="1"/>
    </xf>
    <xf numFmtId="0" fontId="61" fillId="0" borderId="39" xfId="0" applyFont="1" applyFill="1" applyBorder="1" applyAlignment="1">
      <alignment textRotation="90" wrapText="1"/>
    </xf>
    <xf numFmtId="0" fontId="62" fillId="0" borderId="12" xfId="0" applyFont="1" applyFill="1" applyBorder="1" applyAlignment="1">
      <alignment horizontal="center" wrapText="1"/>
    </xf>
    <xf numFmtId="0" fontId="62" fillId="0" borderId="23" xfId="0" applyFont="1" applyFill="1" applyBorder="1" applyAlignment="1">
      <alignment horizontal="center" wrapText="1"/>
    </xf>
    <xf numFmtId="0" fontId="61" fillId="0" borderId="39" xfId="0" applyFont="1" applyFill="1" applyBorder="1" applyAlignment="1">
      <alignment wrapText="1"/>
    </xf>
    <xf numFmtId="0" fontId="61" fillId="0" borderId="40" xfId="0" applyFont="1" applyFill="1" applyBorder="1" applyAlignment="1">
      <alignment wrapText="1"/>
    </xf>
    <xf numFmtId="0" fontId="5" fillId="0" borderId="14" xfId="0" applyFont="1" applyFill="1" applyBorder="1" applyAlignment="1">
      <alignment horizontal="center" wrapText="1"/>
    </xf>
    <xf numFmtId="0" fontId="5" fillId="0" borderId="37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0" fontId="5" fillId="0" borderId="31" xfId="0" applyFont="1" applyFill="1" applyBorder="1" applyAlignment="1">
      <alignment horizontal="center" wrapText="1"/>
    </xf>
    <xf numFmtId="0" fontId="5" fillId="0" borderId="34" xfId="0" applyFont="1" applyFill="1" applyBorder="1" applyAlignment="1">
      <alignment wrapText="1"/>
    </xf>
    <xf numFmtId="0" fontId="5" fillId="0" borderId="35" xfId="0" applyFont="1" applyFill="1" applyBorder="1" applyAlignment="1">
      <alignment horizontal="center" wrapText="1"/>
    </xf>
    <xf numFmtId="165" fontId="5" fillId="0" borderId="35" xfId="0" applyNumberFormat="1" applyFont="1" applyFill="1" applyBorder="1" applyAlignment="1">
      <alignment horizontal="center" wrapText="1"/>
    </xf>
    <xf numFmtId="0" fontId="5" fillId="0" borderId="32" xfId="0" applyFont="1" applyFill="1" applyBorder="1" applyAlignment="1">
      <alignment horizontal="center" wrapText="1"/>
    </xf>
    <xf numFmtId="1" fontId="5" fillId="0" borderId="13" xfId="0" applyNumberFormat="1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42" xfId="0" applyFont="1" applyFill="1" applyBorder="1" applyAlignment="1">
      <alignment wrapText="1"/>
    </xf>
    <xf numFmtId="0" fontId="5" fillId="0" borderId="22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61" fillId="0" borderId="13" xfId="0" applyFont="1" applyFill="1" applyBorder="1" applyAlignment="1">
      <alignment wrapText="1"/>
    </xf>
    <xf numFmtId="0" fontId="5" fillId="0" borderId="32" xfId="0" applyFont="1" applyFill="1" applyBorder="1" applyAlignment="1">
      <alignment wrapText="1"/>
    </xf>
    <xf numFmtId="0" fontId="61" fillId="0" borderId="35" xfId="0" applyFont="1" applyFill="1" applyBorder="1" applyAlignment="1">
      <alignment wrapText="1"/>
    </xf>
    <xf numFmtId="0" fontId="61" fillId="0" borderId="32" xfId="0" applyFont="1" applyFill="1" applyBorder="1" applyAlignment="1">
      <alignment wrapText="1"/>
    </xf>
    <xf numFmtId="0" fontId="62" fillId="0" borderId="41" xfId="0" applyFont="1" applyFill="1" applyBorder="1" applyAlignment="1">
      <alignment wrapText="1"/>
    </xf>
    <xf numFmtId="0" fontId="62" fillId="0" borderId="22" xfId="0" applyFont="1" applyFill="1" applyBorder="1" applyAlignment="1">
      <alignment horizontal="center" wrapText="1"/>
    </xf>
    <xf numFmtId="0" fontId="62" fillId="0" borderId="42" xfId="0" applyFont="1" applyFill="1" applyBorder="1" applyAlignment="1">
      <alignment horizontal="center" wrapText="1"/>
    </xf>
    <xf numFmtId="0" fontId="62" fillId="0" borderId="43" xfId="0" applyFont="1" applyFill="1" applyBorder="1" applyAlignment="1">
      <alignment horizontal="center" wrapText="1"/>
    </xf>
    <xf numFmtId="0" fontId="61" fillId="0" borderId="39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62" fillId="0" borderId="27" xfId="0" applyFont="1" applyFill="1" applyBorder="1" applyAlignment="1">
      <alignment wrapText="1"/>
    </xf>
    <xf numFmtId="0" fontId="62" fillId="0" borderId="20" xfId="0" applyFont="1" applyFill="1" applyBorder="1" applyAlignment="1">
      <alignment horizontal="center" wrapText="1"/>
    </xf>
    <xf numFmtId="0" fontId="62" fillId="0" borderId="47" xfId="0" applyFont="1" applyFill="1" applyBorder="1" applyAlignment="1">
      <alignment horizontal="center" wrapText="1"/>
    </xf>
    <xf numFmtId="0" fontId="62" fillId="0" borderId="45" xfId="0" applyFont="1" applyFill="1" applyBorder="1" applyAlignment="1">
      <alignment horizontal="center" wrapText="1"/>
    </xf>
    <xf numFmtId="0" fontId="62" fillId="0" borderId="44" xfId="0" applyFont="1" applyFill="1" applyBorder="1" applyAlignment="1">
      <alignment horizontal="center" wrapText="1"/>
    </xf>
    <xf numFmtId="0" fontId="62" fillId="0" borderId="1" xfId="0" applyFont="1" applyFill="1" applyBorder="1" applyAlignment="1">
      <alignment horizontal="center" wrapText="1"/>
    </xf>
    <xf numFmtId="0" fontId="62" fillId="0" borderId="12" xfId="0" applyFont="1" applyFill="1" applyBorder="1" applyAlignment="1">
      <alignment wrapText="1"/>
    </xf>
    <xf numFmtId="1" fontId="62" fillId="0" borderId="42" xfId="0" applyNumberFormat="1" applyFont="1" applyFill="1" applyBorder="1" applyAlignment="1">
      <alignment horizontal="center" wrapText="1"/>
    </xf>
    <xf numFmtId="1" fontId="5" fillId="0" borderId="32" xfId="0" applyNumberFormat="1" applyFont="1" applyFill="1" applyBorder="1" applyAlignment="1">
      <alignment horizontal="center" wrapText="1"/>
    </xf>
    <xf numFmtId="1" fontId="62" fillId="0" borderId="35" xfId="0" applyNumberFormat="1" applyFont="1" applyFill="1" applyBorder="1" applyAlignment="1">
      <alignment horizontal="center" wrapText="1"/>
    </xf>
    <xf numFmtId="1" fontId="5" fillId="0" borderId="21" xfId="0" applyNumberFormat="1" applyFont="1" applyFill="1" applyBorder="1" applyAlignment="1">
      <alignment horizontal="center" wrapText="1"/>
    </xf>
    <xf numFmtId="165" fontId="5" fillId="0" borderId="12" xfId="0" applyNumberFormat="1" applyFont="1" applyFill="1" applyBorder="1" applyAlignment="1">
      <alignment horizontal="center" wrapText="1"/>
    </xf>
    <xf numFmtId="1" fontId="62" fillId="0" borderId="33" xfId="0" applyNumberFormat="1" applyFont="1" applyFill="1" applyBorder="1" applyAlignment="1">
      <alignment horizontal="center" wrapText="1"/>
    </xf>
    <xf numFmtId="0" fontId="62" fillId="0" borderId="41" xfId="0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49" fontId="63" fillId="0" borderId="12" xfId="0" applyNumberFormat="1" applyFont="1" applyFill="1" applyBorder="1" applyAlignment="1">
      <alignment horizontal="center"/>
    </xf>
    <xf numFmtId="0" fontId="63" fillId="0" borderId="21" xfId="0" applyFont="1" applyFill="1" applyBorder="1"/>
    <xf numFmtId="0" fontId="63" fillId="0" borderId="52" xfId="0" applyFont="1" applyFill="1" applyBorder="1"/>
    <xf numFmtId="1" fontId="4" fillId="0" borderId="52" xfId="0" applyNumberFormat="1" applyFont="1" applyFill="1" applyBorder="1" applyAlignment="1">
      <alignment horizontal="center"/>
    </xf>
    <xf numFmtId="0" fontId="4" fillId="0" borderId="52" xfId="0" applyFont="1" applyFill="1" applyBorder="1" applyAlignment="1">
      <alignment horizontal="center"/>
    </xf>
    <xf numFmtId="0" fontId="4" fillId="0" borderId="53" xfId="0" applyFont="1" applyFill="1" applyBorder="1" applyAlignment="1">
      <alignment horizontal="center"/>
    </xf>
    <xf numFmtId="49" fontId="63" fillId="0" borderId="13" xfId="0" applyNumberFormat="1" applyFont="1" applyFill="1" applyBorder="1" applyAlignment="1">
      <alignment horizontal="center"/>
    </xf>
    <xf numFmtId="0" fontId="63" fillId="0" borderId="31" xfId="0" applyFont="1" applyFill="1" applyBorder="1"/>
    <xf numFmtId="0" fontId="63" fillId="0" borderId="3" xfId="0" applyFont="1" applyFill="1" applyBorder="1"/>
    <xf numFmtId="1" fontId="4" fillId="0" borderId="1" xfId="0" applyNumberFormat="1" applyFont="1" applyFill="1" applyBorder="1" applyAlignment="1">
      <alignment horizontal="center"/>
    </xf>
    <xf numFmtId="1" fontId="4" fillId="0" borderId="54" xfId="0" applyNumberFormat="1" applyFont="1" applyFill="1" applyBorder="1" applyAlignment="1">
      <alignment horizontal="center"/>
    </xf>
    <xf numFmtId="0" fontId="63" fillId="0" borderId="1" xfId="0" applyFont="1" applyFill="1" applyBorder="1"/>
    <xf numFmtId="0" fontId="63" fillId="0" borderId="55" xfId="0" applyFont="1" applyFill="1" applyBorder="1"/>
    <xf numFmtId="1" fontId="4" fillId="0" borderId="55" xfId="0" applyNumberFormat="1" applyFont="1" applyFill="1" applyBorder="1" applyAlignment="1">
      <alignment horizontal="center"/>
    </xf>
    <xf numFmtId="0" fontId="4" fillId="0" borderId="55" xfId="0" applyFont="1" applyFill="1" applyBorder="1" applyAlignment="1">
      <alignment horizontal="center"/>
    </xf>
    <xf numFmtId="1" fontId="4" fillId="0" borderId="56" xfId="0" applyNumberFormat="1" applyFont="1" applyFill="1" applyBorder="1" applyAlignment="1">
      <alignment horizontal="center"/>
    </xf>
    <xf numFmtId="0" fontId="45" fillId="0" borderId="21" xfId="0" applyFont="1" applyFill="1" applyBorder="1" applyAlignment="1">
      <alignment horizontal="center"/>
    </xf>
    <xf numFmtId="0" fontId="63" fillId="0" borderId="12" xfId="0" applyFont="1" applyFill="1" applyBorder="1"/>
    <xf numFmtId="1" fontId="63" fillId="0" borderId="13" xfId="0" applyNumberFormat="1" applyFont="1" applyFill="1" applyBorder="1" applyAlignment="1">
      <alignment horizontal="center"/>
    </xf>
    <xf numFmtId="1" fontId="63" fillId="0" borderId="24" xfId="0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/>
    </xf>
    <xf numFmtId="0" fontId="4" fillId="0" borderId="12" xfId="0" applyFont="1" applyFill="1" applyBorder="1"/>
    <xf numFmtId="1" fontId="63" fillId="0" borderId="12" xfId="0" applyNumberFormat="1" applyFont="1" applyFill="1" applyBorder="1" applyAlignment="1">
      <alignment horizontal="center"/>
    </xf>
    <xf numFmtId="1" fontId="63" fillId="0" borderId="23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/>
    </xf>
    <xf numFmtId="0" fontId="4" fillId="0" borderId="13" xfId="0" applyFont="1" applyFill="1" applyBorder="1"/>
    <xf numFmtId="0" fontId="61" fillId="0" borderId="13" xfId="0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63" fillId="0" borderId="23" xfId="0" applyNumberFormat="1" applyFont="1" applyFill="1" applyBorder="1" applyAlignment="1">
      <alignment horizontal="center" wrapText="1"/>
    </xf>
    <xf numFmtId="0" fontId="63" fillId="0" borderId="13" xfId="0" applyFont="1" applyFill="1" applyBorder="1"/>
    <xf numFmtId="1" fontId="63" fillId="0" borderId="24" xfId="0" applyNumberFormat="1" applyFont="1" applyFill="1" applyBorder="1" applyAlignment="1">
      <alignment horizontal="center" wrapText="1"/>
    </xf>
    <xf numFmtId="0" fontId="63" fillId="0" borderId="55" xfId="0" quotePrefix="1" applyFont="1" applyFill="1" applyBorder="1"/>
    <xf numFmtId="0" fontId="45" fillId="0" borderId="0" xfId="0" applyFont="1" applyFill="1" applyBorder="1" applyAlignment="1">
      <alignment horizontal="center"/>
    </xf>
    <xf numFmtId="0" fontId="63" fillId="0" borderId="0" xfId="0" applyFont="1" applyFill="1" applyBorder="1"/>
    <xf numFmtId="1" fontId="63" fillId="0" borderId="0" xfId="0" applyNumberFormat="1" applyFont="1" applyFill="1" applyBorder="1" applyAlignment="1">
      <alignment horizontal="center"/>
    </xf>
    <xf numFmtId="1" fontId="63" fillId="0" borderId="0" xfId="0" applyNumberFormat="1" applyFont="1" applyFill="1" applyBorder="1" applyAlignment="1">
      <alignment horizontal="center" wrapText="1"/>
    </xf>
    <xf numFmtId="0" fontId="0" fillId="11" borderId="0" xfId="0" applyFill="1"/>
    <xf numFmtId="0" fontId="4" fillId="11" borderId="27" xfId="0" applyFont="1" applyFill="1" applyBorder="1"/>
    <xf numFmtId="0" fontId="4" fillId="11" borderId="51" xfId="0" applyFont="1" applyFill="1" applyBorder="1"/>
    <xf numFmtId="0" fontId="63" fillId="11" borderId="31" xfId="0" applyFont="1" applyFill="1" applyBorder="1"/>
    <xf numFmtId="0" fontId="5" fillId="0" borderId="0" xfId="0" applyFont="1" applyAlignment="1">
      <alignment wrapText="1"/>
    </xf>
    <xf numFmtId="0" fontId="53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wrapText="1"/>
    </xf>
    <xf numFmtId="165" fontId="23" fillId="0" borderId="0" xfId="0" applyNumberFormat="1" applyFont="1" applyFill="1"/>
    <xf numFmtId="0" fontId="50" fillId="0" borderId="1" xfId="0" applyFont="1" applyBorder="1" applyAlignment="1">
      <alignment horizontal="center"/>
    </xf>
    <xf numFmtId="49" fontId="0" fillId="0" borderId="0" xfId="0" applyNumberFormat="1"/>
    <xf numFmtId="0" fontId="50" fillId="0" borderId="1" xfId="0" applyFont="1" applyFill="1" applyBorder="1" applyAlignment="1">
      <alignment horizontal="center" textRotation="90" wrapText="1"/>
    </xf>
    <xf numFmtId="0" fontId="50" fillId="0" borderId="1" xfId="0" applyFont="1" applyFill="1" applyBorder="1" applyAlignment="1">
      <alignment horizontal="center" wrapText="1"/>
    </xf>
    <xf numFmtId="0" fontId="50" fillId="0" borderId="1" xfId="0" applyFont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34" xfId="0" applyFont="1" applyFill="1" applyBorder="1" applyAlignment="1">
      <alignment wrapText="1"/>
    </xf>
    <xf numFmtId="0" fontId="5" fillId="0" borderId="14" xfId="0" applyFont="1" applyFill="1" applyBorder="1" applyAlignment="1">
      <alignment horizontal="center" wrapText="1"/>
    </xf>
    <xf numFmtId="0" fontId="7" fillId="0" borderId="35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1" fillId="0" borderId="0" xfId="0" applyFont="1" applyFill="1"/>
    <xf numFmtId="0" fontId="8" fillId="0" borderId="1" xfId="0" applyFont="1" applyBorder="1" applyAlignment="1">
      <alignment horizontal="center"/>
    </xf>
    <xf numFmtId="165" fontId="50" fillId="0" borderId="1" xfId="0" applyNumberFormat="1" applyFont="1" applyBorder="1" applyAlignment="1">
      <alignment horizontal="center"/>
    </xf>
    <xf numFmtId="0" fontId="0" fillId="0" borderId="0" xfId="0" applyFont="1"/>
    <xf numFmtId="3" fontId="50" fillId="0" borderId="1" xfId="0" applyNumberFormat="1" applyFont="1" applyBorder="1" applyAlignment="1">
      <alignment horizontal="center"/>
    </xf>
    <xf numFmtId="0" fontId="50" fillId="2" borderId="1" xfId="0" applyFont="1" applyFill="1" applyBorder="1" applyAlignment="1">
      <alignment horizontal="center"/>
    </xf>
    <xf numFmtId="0" fontId="51" fillId="2" borderId="1" xfId="0" applyFont="1" applyFill="1" applyBorder="1" applyAlignment="1">
      <alignment horizontal="left"/>
    </xf>
    <xf numFmtId="0" fontId="0" fillId="2" borderId="0" xfId="0" applyFill="1"/>
    <xf numFmtId="0" fontId="8" fillId="2" borderId="1" xfId="0" applyFont="1" applyFill="1" applyBorder="1" applyAlignment="1">
      <alignment horizontal="center"/>
    </xf>
    <xf numFmtId="0" fontId="50" fillId="8" borderId="1" xfId="0" applyFont="1" applyFill="1" applyBorder="1"/>
    <xf numFmtId="0" fontId="51" fillId="8" borderId="1" xfId="0" applyFont="1" applyFill="1" applyBorder="1" applyAlignment="1">
      <alignment horizontal="left"/>
    </xf>
    <xf numFmtId="0" fontId="50" fillId="8" borderId="1" xfId="0" applyFont="1" applyFill="1" applyBorder="1" applyAlignment="1">
      <alignment horizontal="center"/>
    </xf>
    <xf numFmtId="0" fontId="0" fillId="8" borderId="0" xfId="0" applyFill="1"/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9" fillId="0" borderId="0" xfId="0" applyFont="1"/>
    <xf numFmtId="3" fontId="50" fillId="0" borderId="1" xfId="0" applyNumberFormat="1" applyFont="1" applyFill="1" applyBorder="1" applyAlignment="1">
      <alignment horizontal="center" wrapText="1"/>
    </xf>
    <xf numFmtId="3" fontId="5" fillId="0" borderId="32" xfId="0" applyNumberFormat="1" applyFont="1" applyFill="1" applyBorder="1" applyAlignment="1">
      <alignment horizontal="center" wrapText="1"/>
    </xf>
    <xf numFmtId="3" fontId="0" fillId="11" borderId="1" xfId="0" applyNumberForma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13" borderId="0" xfId="0" applyFont="1" applyFill="1" applyBorder="1"/>
    <xf numFmtId="0" fontId="30" fillId="0" borderId="2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right" vertical="top" wrapText="1"/>
    </xf>
    <xf numFmtId="0" fontId="15" fillId="13" borderId="1" xfId="0" applyFont="1" applyFill="1" applyBorder="1"/>
    <xf numFmtId="0" fontId="2" fillId="13" borderId="1" xfId="0" applyFont="1" applyFill="1" applyBorder="1"/>
    <xf numFmtId="3" fontId="2" fillId="13" borderId="1" xfId="0" applyNumberFormat="1" applyFont="1" applyFill="1" applyBorder="1"/>
    <xf numFmtId="0" fontId="2" fillId="11" borderId="0" xfId="0" applyFont="1" applyFill="1" applyBorder="1"/>
    <xf numFmtId="49" fontId="41" fillId="0" borderId="2" xfId="0" applyNumberFormat="1" applyFont="1" applyFill="1" applyBorder="1" applyAlignment="1">
      <alignment horizontal="center" wrapText="1"/>
    </xf>
    <xf numFmtId="49" fontId="38" fillId="0" borderId="2" xfId="0" applyNumberFormat="1" applyFont="1" applyFill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49" fontId="2" fillId="11" borderId="2" xfId="0" applyNumberFormat="1" applyFont="1" applyFill="1" applyBorder="1" applyAlignment="1">
      <alignment horizontal="center" vertical="center" wrapText="1"/>
    </xf>
    <xf numFmtId="0" fontId="31" fillId="11" borderId="1" xfId="0" applyFont="1" applyFill="1" applyBorder="1" applyAlignment="1">
      <alignment vertical="top" wrapText="1"/>
    </xf>
    <xf numFmtId="0" fontId="2" fillId="0" borderId="7" xfId="0" applyFont="1" applyFill="1" applyBorder="1"/>
    <xf numFmtId="0" fontId="6" fillId="0" borderId="1" xfId="0" applyFont="1" applyFill="1" applyBorder="1"/>
    <xf numFmtId="1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textRotation="90" wrapText="1"/>
    </xf>
    <xf numFmtId="1" fontId="3" fillId="0" borderId="0" xfId="0" applyNumberFormat="1" applyFont="1" applyFill="1"/>
    <xf numFmtId="0" fontId="27" fillId="0" borderId="0" xfId="0" applyFont="1" applyFill="1"/>
    <xf numFmtId="0" fontId="27" fillId="0" borderId="0" xfId="0" applyFont="1" applyFill="1" applyBorder="1"/>
    <xf numFmtId="0" fontId="5" fillId="8" borderId="1" xfId="0" applyFont="1" applyFill="1" applyBorder="1" applyAlignment="1">
      <alignment horizontal="center" vertical="center"/>
    </xf>
    <xf numFmtId="0" fontId="45" fillId="8" borderId="1" xfId="0" applyFont="1" applyFill="1" applyBorder="1" applyAlignment="1">
      <alignment horizontal="center" vertical="center"/>
    </xf>
    <xf numFmtId="3" fontId="35" fillId="11" borderId="1" xfId="1" applyNumberFormat="1" applyFont="1" applyFill="1" applyBorder="1" applyAlignment="1">
      <alignment horizontal="center" vertical="center" readingOrder="1"/>
    </xf>
    <xf numFmtId="3" fontId="6" fillId="0" borderId="1" xfId="1" applyNumberFormat="1" applyFont="1" applyFill="1" applyBorder="1" applyAlignment="1">
      <alignment horizontal="center" vertical="center" readingOrder="1"/>
    </xf>
    <xf numFmtId="3" fontId="6" fillId="0" borderId="1" xfId="0" applyNumberFormat="1" applyFont="1" applyFill="1" applyBorder="1" applyAlignment="1">
      <alignment horizontal="center" vertical="center" readingOrder="1"/>
    </xf>
    <xf numFmtId="3" fontId="35" fillId="11" borderId="1" xfId="0" applyNumberFormat="1" applyFont="1" applyFill="1" applyBorder="1" applyAlignment="1">
      <alignment horizontal="center" vertical="center" readingOrder="1"/>
    </xf>
    <xf numFmtId="3" fontId="35" fillId="8" borderId="1" xfId="1" applyNumberFormat="1" applyFont="1" applyFill="1" applyBorder="1" applyAlignment="1">
      <alignment horizontal="center" vertical="center" readingOrder="1"/>
    </xf>
    <xf numFmtId="3" fontId="35" fillId="8" borderId="1" xfId="0" applyNumberFormat="1" applyFont="1" applyFill="1" applyBorder="1" applyAlignment="1">
      <alignment horizontal="center" vertical="center" readingOrder="1"/>
    </xf>
    <xf numFmtId="3" fontId="6" fillId="0" borderId="1" xfId="0" applyNumberFormat="1" applyFont="1" applyFill="1" applyBorder="1" applyAlignment="1">
      <alignment horizontal="center" vertical="center"/>
    </xf>
    <xf numFmtId="3" fontId="35" fillId="11" borderId="1" xfId="0" applyNumberFormat="1" applyFont="1" applyFill="1" applyBorder="1" applyAlignment="1">
      <alignment horizontal="center" vertical="center"/>
    </xf>
    <xf numFmtId="3" fontId="35" fillId="8" borderId="1" xfId="0" applyNumberFormat="1" applyFont="1" applyFill="1" applyBorder="1" applyAlignment="1">
      <alignment horizontal="center" vertical="center"/>
    </xf>
    <xf numFmtId="3" fontId="35" fillId="11" borderId="1" xfId="1" applyNumberFormat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179" fontId="35" fillId="11" borderId="1" xfId="1" applyNumberFormat="1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/>
    </xf>
    <xf numFmtId="179" fontId="35" fillId="11" borderId="1" xfId="0" applyNumberFormat="1" applyFont="1" applyFill="1" applyBorder="1" applyAlignment="1">
      <alignment horizontal="center" vertical="center"/>
    </xf>
    <xf numFmtId="179" fontId="35" fillId="8" borderId="1" xfId="0" applyNumberFormat="1" applyFont="1" applyFill="1" applyBorder="1" applyAlignment="1">
      <alignment horizontal="center" vertical="center"/>
    </xf>
    <xf numFmtId="180" fontId="35" fillId="11" borderId="1" xfId="1" applyNumberFormat="1" applyFont="1" applyFill="1" applyBorder="1" applyAlignment="1">
      <alignment horizontal="center" vertical="center"/>
    </xf>
    <xf numFmtId="180" fontId="6" fillId="0" borderId="1" xfId="0" applyNumberFormat="1" applyFont="1" applyFill="1" applyBorder="1" applyAlignment="1">
      <alignment horizontal="center" vertical="center"/>
    </xf>
    <xf numFmtId="180" fontId="35" fillId="11" borderId="1" xfId="0" applyNumberFormat="1" applyFont="1" applyFill="1" applyBorder="1" applyAlignment="1">
      <alignment horizontal="center" vertical="center"/>
    </xf>
    <xf numFmtId="178" fontId="35" fillId="8" borderId="1" xfId="0" applyNumberFormat="1" applyFont="1" applyFill="1" applyBorder="1" applyAlignment="1">
      <alignment horizontal="center" vertical="center"/>
    </xf>
    <xf numFmtId="49" fontId="35" fillId="11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35" fillId="11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49" fontId="53" fillId="11" borderId="1" xfId="0" applyNumberFormat="1" applyFont="1" applyFill="1" applyBorder="1" applyAlignment="1">
      <alignment horizontal="center" vertical="top" wrapText="1"/>
    </xf>
    <xf numFmtId="49" fontId="48" fillId="0" borderId="1" xfId="0" applyNumberFormat="1" applyFont="1" applyFill="1" applyBorder="1" applyAlignment="1">
      <alignment vertical="top" wrapText="1"/>
    </xf>
    <xf numFmtId="49" fontId="35" fillId="11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25" fillId="8" borderId="1" xfId="1" applyNumberFormat="1" applyFont="1" applyFill="1" applyBorder="1" applyAlignment="1">
      <alignment horizontal="center" vertical="center" wrapText="1"/>
    </xf>
    <xf numFmtId="49" fontId="35" fillId="8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0" fillId="11" borderId="1" xfId="0" applyFill="1" applyBorder="1" applyAlignment="1">
      <alignment horizontal="center" vertical="center"/>
    </xf>
    <xf numFmtId="3" fontId="4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39" fillId="2" borderId="1" xfId="0" applyNumberFormat="1" applyFont="1" applyFill="1" applyBorder="1" applyAlignment="1">
      <alignment horizontal="center" vertical="center"/>
    </xf>
    <xf numFmtId="167" fontId="3" fillId="0" borderId="0" xfId="1" applyNumberFormat="1" applyFont="1" applyFill="1"/>
    <xf numFmtId="180" fontId="3" fillId="0" borderId="0" xfId="1" applyNumberFormat="1" applyFont="1" applyFill="1"/>
    <xf numFmtId="3" fontId="11" fillId="8" borderId="1" xfId="1" applyNumberFormat="1" applyFont="1" applyFill="1" applyBorder="1" applyAlignment="1">
      <alignment horizontal="center" vertical="center"/>
    </xf>
    <xf numFmtId="3" fontId="6" fillId="18" borderId="1" xfId="1" applyNumberFormat="1" applyFont="1" applyFill="1" applyBorder="1" applyAlignment="1">
      <alignment horizontal="center" vertical="center" readingOrder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1" fontId="0" fillId="2" borderId="0" xfId="0" applyNumberFormat="1" applyFill="1"/>
    <xf numFmtId="1" fontId="0" fillId="18" borderId="0" xfId="0" applyNumberFormat="1" applyFill="1"/>
    <xf numFmtId="0" fontId="2" fillId="18" borderId="1" xfId="0" applyFont="1" applyFill="1" applyBorder="1" applyAlignment="1">
      <alignment horizontal="center" vertical="center" wrapText="1"/>
    </xf>
    <xf numFmtId="0" fontId="53" fillId="2" borderId="4" xfId="0" applyFont="1" applyFill="1" applyBorder="1" applyAlignment="1">
      <alignment horizontal="left" vertical="center"/>
    </xf>
    <xf numFmtId="0" fontId="31" fillId="7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2" fillId="2" borderId="58" xfId="0" applyNumberFormat="1" applyFont="1" applyFill="1" applyBorder="1" applyAlignment="1">
      <alignment horizontal="center" vertical="center" wrapText="1"/>
    </xf>
    <xf numFmtId="0" fontId="2" fillId="2" borderId="54" xfId="0" applyNumberFormat="1" applyFont="1" applyFill="1" applyBorder="1" applyAlignment="1">
      <alignment horizontal="center" vertical="center" wrapText="1"/>
    </xf>
    <xf numFmtId="0" fontId="2" fillId="0" borderId="58" xfId="0" applyNumberFormat="1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1" fontId="2" fillId="2" borderId="58" xfId="0" applyNumberFormat="1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165" fontId="2" fillId="2" borderId="58" xfId="0" applyNumberFormat="1" applyFont="1" applyFill="1" applyBorder="1" applyAlignment="1">
      <alignment horizontal="center" vertical="center" wrapText="1"/>
    </xf>
    <xf numFmtId="165" fontId="2" fillId="0" borderId="58" xfId="0" applyNumberFormat="1" applyFont="1" applyFill="1" applyBorder="1" applyAlignment="1">
      <alignment horizontal="center" vertical="center" wrapText="1"/>
    </xf>
    <xf numFmtId="165" fontId="2" fillId="2" borderId="54" xfId="0" applyNumberFormat="1" applyFont="1" applyFill="1" applyBorder="1" applyAlignment="1">
      <alignment horizontal="center" vertical="center" wrapText="1"/>
    </xf>
    <xf numFmtId="165" fontId="2" fillId="0" borderId="54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left" vertical="center"/>
    </xf>
    <xf numFmtId="0" fontId="2" fillId="2" borderId="8" xfId="0" applyNumberFormat="1" applyFont="1" applyFill="1" applyBorder="1" applyAlignment="1">
      <alignment horizontal="center" vertical="center" wrapText="1"/>
    </xf>
    <xf numFmtId="165" fontId="2" fillId="0" borderId="64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5" fillId="2" borderId="3" xfId="0" applyFont="1" applyFill="1" applyBorder="1" applyAlignment="1">
      <alignment horizontal="left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0" fontId="2" fillId="2" borderId="6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67" xfId="0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wrapText="1"/>
    </xf>
    <xf numFmtId="0" fontId="5" fillId="0" borderId="51" xfId="0" applyFont="1" applyBorder="1" applyAlignment="1">
      <alignment wrapText="1"/>
    </xf>
    <xf numFmtId="0" fontId="5" fillId="0" borderId="31" xfId="0" applyFont="1" applyBorder="1" applyAlignment="1">
      <alignment wrapText="1"/>
    </xf>
    <xf numFmtId="0" fontId="5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48" fillId="2" borderId="3" xfId="0" applyFont="1" applyFill="1" applyBorder="1" applyAlignment="1">
      <alignment horizontal="center" vertical="center" wrapText="1"/>
    </xf>
    <xf numFmtId="0" fontId="53" fillId="2" borderId="3" xfId="0" applyFont="1" applyFill="1" applyBorder="1" applyAlignment="1">
      <alignment horizontal="left" vertical="center" wrapText="1"/>
    </xf>
    <xf numFmtId="3" fontId="2" fillId="11" borderId="8" xfId="0" applyNumberFormat="1" applyFont="1" applyFill="1" applyBorder="1" applyAlignment="1">
      <alignment horizontal="center" vertical="center" wrapText="1"/>
    </xf>
    <xf numFmtId="0" fontId="2" fillId="11" borderId="59" xfId="0" applyFont="1" applyFill="1" applyBorder="1" applyAlignment="1">
      <alignment horizontal="center" vertical="center" wrapText="1"/>
    </xf>
    <xf numFmtId="0" fontId="2" fillId="11" borderId="55" xfId="0" applyFont="1" applyFill="1" applyBorder="1" applyAlignment="1">
      <alignment horizontal="center" vertical="center" wrapText="1"/>
    </xf>
    <xf numFmtId="0" fontId="2" fillId="11" borderId="56" xfId="0" applyFont="1" applyFill="1" applyBorder="1" applyAlignment="1">
      <alignment horizontal="center" vertical="center" wrapText="1"/>
    </xf>
    <xf numFmtId="0" fontId="2" fillId="11" borderId="65" xfId="0" applyFont="1" applyFill="1" applyBorder="1" applyAlignment="1">
      <alignment horizontal="center" vertical="center" wrapText="1"/>
    </xf>
    <xf numFmtId="165" fontId="2" fillId="11" borderId="59" xfId="0" applyNumberFormat="1" applyFont="1" applyFill="1" applyBorder="1" applyAlignment="1">
      <alignment horizontal="center" vertical="center" wrapText="1"/>
    </xf>
    <xf numFmtId="165" fontId="2" fillId="11" borderId="55" xfId="0" applyNumberFormat="1" applyFont="1" applyFill="1" applyBorder="1" applyAlignment="1">
      <alignment horizontal="center" vertical="center" wrapText="1"/>
    </xf>
    <xf numFmtId="0" fontId="2" fillId="11" borderId="0" xfId="0" applyFont="1" applyFill="1" applyAlignment="1">
      <alignment wrapText="1"/>
    </xf>
    <xf numFmtId="0" fontId="3" fillId="11" borderId="0" xfId="0" applyFont="1" applyFill="1" applyAlignment="1">
      <alignment wrapText="1"/>
    </xf>
    <xf numFmtId="0" fontId="2" fillId="11" borderId="66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wrapText="1"/>
    </xf>
    <xf numFmtId="2" fontId="23" fillId="0" borderId="5" xfId="0" applyNumberFormat="1" applyFont="1" applyFill="1" applyBorder="1" applyAlignment="1"/>
    <xf numFmtId="2" fontId="23" fillId="0" borderId="6" xfId="0" applyNumberFormat="1" applyFont="1" applyFill="1" applyBorder="1" applyAlignment="1"/>
    <xf numFmtId="0" fontId="48" fillId="0" borderId="1" xfId="0" applyFont="1" applyBorder="1" applyAlignment="1">
      <alignment horizontal="center" wrapText="1"/>
    </xf>
    <xf numFmtId="165" fontId="48" fillId="0" borderId="1" xfId="0" applyNumberFormat="1" applyFont="1" applyBorder="1" applyAlignment="1">
      <alignment horizontal="center" vertical="top" wrapText="1"/>
    </xf>
    <xf numFmtId="3" fontId="48" fillId="0" borderId="1" xfId="0" applyNumberFormat="1" applyFont="1" applyBorder="1" applyAlignment="1">
      <alignment horizontal="center" wrapText="1"/>
    </xf>
    <xf numFmtId="2" fontId="48" fillId="0" borderId="1" xfId="0" applyNumberFormat="1" applyFont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/>
    </xf>
    <xf numFmtId="0" fontId="48" fillId="0" borderId="1" xfId="0" applyFont="1" applyBorder="1" applyAlignment="1">
      <alignment horizontal="center" vertical="top" wrapText="1"/>
    </xf>
    <xf numFmtId="0" fontId="6" fillId="0" borderId="0" xfId="0" applyFont="1" applyFill="1" applyAlignment="1">
      <alignment wrapText="1"/>
    </xf>
    <xf numFmtId="0" fontId="48" fillId="0" borderId="0" xfId="0" applyFont="1" applyAlignment="1">
      <alignment wrapText="1"/>
    </xf>
    <xf numFmtId="0" fontId="0" fillId="11" borderId="1" xfId="0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 textRotation="90"/>
    </xf>
    <xf numFmtId="0" fontId="0" fillId="16" borderId="1" xfId="0" applyFill="1" applyBorder="1" applyAlignment="1">
      <alignment horizontal="center" vertical="center" textRotation="90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wrapText="1"/>
    </xf>
    <xf numFmtId="0" fontId="2" fillId="12" borderId="3" xfId="0" applyFont="1" applyFill="1" applyBorder="1" applyAlignment="1">
      <alignment horizontal="center" wrapText="1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top" wrapText="1"/>
    </xf>
    <xf numFmtId="0" fontId="30" fillId="0" borderId="4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wrapText="1"/>
    </xf>
    <xf numFmtId="0" fontId="2" fillId="11" borderId="3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4" fillId="11" borderId="3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4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9" fillId="11" borderId="4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3" fontId="39" fillId="0" borderId="2" xfId="0" applyNumberFormat="1" applyFont="1" applyFill="1" applyBorder="1" applyAlignment="1">
      <alignment horizontal="center" vertical="center"/>
    </xf>
    <xf numFmtId="3" fontId="39" fillId="0" borderId="3" xfId="0" applyNumberFormat="1" applyFont="1" applyFill="1" applyBorder="1" applyAlignment="1">
      <alignment horizontal="center" vertical="center"/>
    </xf>
    <xf numFmtId="49" fontId="17" fillId="14" borderId="2" xfId="0" applyNumberFormat="1" applyFont="1" applyFill="1" applyBorder="1" applyAlignment="1">
      <alignment horizontal="center" vertical="center" textRotation="90" wrapText="1"/>
    </xf>
    <xf numFmtId="0" fontId="0" fillId="14" borderId="4" xfId="0" applyFill="1" applyBorder="1" applyAlignment="1">
      <alignment horizontal="center" vertical="center" textRotation="90" wrapText="1"/>
    </xf>
    <xf numFmtId="0" fontId="0" fillId="14" borderId="3" xfId="0" applyFill="1" applyBorder="1" applyAlignment="1">
      <alignment horizontal="center" vertical="center" textRotation="90" wrapText="1"/>
    </xf>
    <xf numFmtId="0" fontId="30" fillId="11" borderId="2" xfId="0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vertical="center" textRotation="90" wrapText="1"/>
    </xf>
    <xf numFmtId="0" fontId="0" fillId="0" borderId="3" xfId="0" applyBorder="1" applyAlignment="1">
      <alignment vertical="center" textRotation="90" wrapText="1"/>
    </xf>
    <xf numFmtId="49" fontId="16" fillId="11" borderId="2" xfId="0" applyNumberFormat="1" applyFont="1" applyFill="1" applyBorder="1" applyAlignment="1">
      <alignment horizontal="center" vertical="center" textRotation="90" wrapText="1"/>
    </xf>
    <xf numFmtId="49" fontId="16" fillId="11" borderId="4" xfId="0" applyNumberFormat="1" applyFont="1" applyFill="1" applyBorder="1" applyAlignment="1">
      <alignment horizontal="center" vertical="center" textRotation="90" wrapText="1"/>
    </xf>
    <xf numFmtId="49" fontId="16" fillId="11" borderId="3" xfId="0" applyNumberFormat="1" applyFont="1" applyFill="1" applyBorder="1" applyAlignment="1">
      <alignment horizontal="center" vertical="center" textRotation="90" wrapText="1"/>
    </xf>
    <xf numFmtId="0" fontId="30" fillId="11" borderId="2" xfId="0" applyFont="1" applyFill="1" applyBorder="1" applyAlignment="1">
      <alignment horizontal="center" vertical="top" textRotation="90" wrapText="1"/>
    </xf>
    <xf numFmtId="0" fontId="30" fillId="11" borderId="4" xfId="0" applyFont="1" applyFill="1" applyBorder="1" applyAlignment="1">
      <alignment horizontal="center" vertical="top" textRotation="90" wrapText="1"/>
    </xf>
    <xf numFmtId="0" fontId="30" fillId="14" borderId="2" xfId="0" applyFont="1" applyFill="1" applyBorder="1" applyAlignment="1">
      <alignment horizontal="center" vertical="center" textRotation="90" wrapText="1"/>
    </xf>
    <xf numFmtId="0" fontId="0" fillId="14" borderId="4" xfId="0" applyFill="1" applyBorder="1" applyAlignment="1">
      <alignment vertical="center" textRotation="90" wrapText="1"/>
    </xf>
    <xf numFmtId="0" fontId="0" fillId="14" borderId="3" xfId="0" applyFill="1" applyBorder="1" applyAlignment="1">
      <alignment vertical="center" textRotation="90" wrapText="1"/>
    </xf>
    <xf numFmtId="0" fontId="30" fillId="2" borderId="2" xfId="0" applyFont="1" applyFill="1" applyBorder="1" applyAlignment="1">
      <alignment horizontal="center" vertical="center" textRotation="90" wrapText="1"/>
    </xf>
    <xf numFmtId="0" fontId="30" fillId="2" borderId="4" xfId="0" applyFont="1" applyFill="1" applyBorder="1" applyAlignment="1">
      <alignment horizontal="center" vertical="center" textRotation="90" wrapText="1"/>
    </xf>
    <xf numFmtId="0" fontId="30" fillId="2" borderId="3" xfId="0" applyFont="1" applyFill="1" applyBorder="1" applyAlignment="1">
      <alignment horizontal="center" vertical="center" textRotation="90" wrapText="1"/>
    </xf>
    <xf numFmtId="0" fontId="30" fillId="11" borderId="4" xfId="0" applyFont="1" applyFill="1" applyBorder="1" applyAlignment="1">
      <alignment horizontal="center" vertical="center" textRotation="90" wrapText="1"/>
    </xf>
    <xf numFmtId="0" fontId="30" fillId="11" borderId="3" xfId="0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vertical="top" textRotation="90" wrapText="1"/>
    </xf>
    <xf numFmtId="0" fontId="0" fillId="0" borderId="3" xfId="0" applyBorder="1" applyAlignment="1">
      <alignment vertical="top" textRotation="90" wrapText="1"/>
    </xf>
    <xf numFmtId="0" fontId="30" fillId="11" borderId="7" xfId="0" applyFont="1" applyFill="1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0" xfId="0" applyFont="1" applyAlignment="1">
      <alignment wrapText="1"/>
    </xf>
    <xf numFmtId="0" fontId="5" fillId="0" borderId="5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3" fillId="11" borderId="1" xfId="0" applyFont="1" applyFill="1" applyBorder="1" applyAlignment="1">
      <alignment horizontal="center" vertical="center" wrapText="1"/>
    </xf>
    <xf numFmtId="49" fontId="5" fillId="0" borderId="5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55" xfId="0" applyNumberFormat="1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49" fontId="5" fillId="0" borderId="6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65" xfId="0" applyNumberFormat="1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35" fillId="11" borderId="1" xfId="0" applyFont="1" applyFill="1" applyBorder="1" applyAlignment="1">
      <alignment horizontal="center" vertical="center" wrapText="1"/>
    </xf>
    <xf numFmtId="0" fontId="54" fillId="0" borderId="20" xfId="0" applyFont="1" applyBorder="1" applyAlignment="1">
      <alignment horizontal="center" wrapText="1"/>
    </xf>
    <xf numFmtId="0" fontId="54" fillId="0" borderId="13" xfId="0" applyFont="1" applyBorder="1" applyAlignment="1">
      <alignment horizontal="center" wrapText="1"/>
    </xf>
    <xf numFmtId="0" fontId="54" fillId="0" borderId="21" xfId="0" applyFont="1" applyBorder="1" applyAlignment="1">
      <alignment horizontal="center" wrapText="1"/>
    </xf>
    <xf numFmtId="0" fontId="54" fillId="0" borderId="23" xfId="0" applyFont="1" applyBorder="1" applyAlignment="1">
      <alignment horizontal="center" wrapText="1"/>
    </xf>
    <xf numFmtId="0" fontId="9" fillId="3" borderId="1" xfId="0" applyFont="1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22" xfId="0" applyFont="1" applyBorder="1" applyAlignment="1">
      <alignment horizontal="center" wrapText="1"/>
    </xf>
    <xf numFmtId="0" fontId="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8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7" borderId="8" xfId="0" applyFont="1" applyFill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0" fillId="0" borderId="2" xfId="0" applyNumberFormat="1" applyFont="1" applyFill="1" applyBorder="1" applyAlignment="1">
      <alignment horizontal="center" wrapText="1"/>
    </xf>
    <xf numFmtId="49" fontId="50" fillId="0" borderId="3" xfId="0" applyNumberFormat="1" applyFont="1" applyFill="1" applyBorder="1" applyAlignment="1">
      <alignment horizontal="center" wrapText="1"/>
    </xf>
    <xf numFmtId="0" fontId="50" fillId="0" borderId="2" xfId="0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center" vertical="center" wrapText="1"/>
    </xf>
    <xf numFmtId="0" fontId="50" fillId="0" borderId="3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1" fontId="50" fillId="0" borderId="2" xfId="0" applyNumberFormat="1" applyFont="1" applyFill="1" applyBorder="1" applyAlignment="1">
      <alignment horizontal="center" vertical="center" wrapText="1"/>
    </xf>
    <xf numFmtId="1" fontId="50" fillId="0" borderId="3" xfId="0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textRotation="90" wrapText="1"/>
    </xf>
    <xf numFmtId="0" fontId="50" fillId="0" borderId="1" xfId="0" applyFont="1" applyFill="1" applyBorder="1" applyAlignment="1">
      <alignment horizontal="center" wrapText="1"/>
    </xf>
    <xf numFmtId="0" fontId="50" fillId="0" borderId="1" xfId="0" applyFont="1" applyBorder="1" applyAlignment="1">
      <alignment horizontal="center" wrapText="1"/>
    </xf>
    <xf numFmtId="1" fontId="50" fillId="0" borderId="4" xfId="0" applyNumberFormat="1" applyFont="1" applyFill="1" applyBorder="1" applyAlignment="1">
      <alignment horizontal="center" vertical="center" wrapText="1"/>
    </xf>
    <xf numFmtId="0" fontId="59" fillId="0" borderId="21" xfId="0" applyFont="1" applyFill="1" applyBorder="1" applyAlignment="1">
      <alignment horizontal="center" wrapText="1"/>
    </xf>
    <xf numFmtId="0" fontId="59" fillId="0" borderId="22" xfId="0" applyFont="1" applyFill="1" applyBorder="1" applyAlignment="1">
      <alignment horizontal="center" wrapText="1"/>
    </xf>
    <xf numFmtId="0" fontId="59" fillId="0" borderId="23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wrapText="1"/>
    </xf>
    <xf numFmtId="0" fontId="5" fillId="0" borderId="20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25" xfId="0" applyFont="1" applyFill="1" applyBorder="1" applyAlignment="1">
      <alignment wrapText="1"/>
    </xf>
    <xf numFmtId="0" fontId="5" fillId="0" borderId="34" xfId="0" applyFont="1" applyFill="1" applyBorder="1" applyAlignment="1">
      <alignment wrapText="1"/>
    </xf>
    <xf numFmtId="0" fontId="5" fillId="0" borderId="26" xfId="0" applyFont="1" applyFill="1" applyBorder="1" applyAlignment="1">
      <alignment horizontal="center" wrapText="1"/>
    </xf>
    <xf numFmtId="0" fontId="5" fillId="0" borderId="48" xfId="0" applyFont="1" applyFill="1" applyBorder="1" applyAlignment="1">
      <alignment horizontal="center" wrapText="1"/>
    </xf>
    <xf numFmtId="0" fontId="5" fillId="0" borderId="25" xfId="0" applyFont="1" applyFill="1" applyBorder="1" applyAlignment="1">
      <alignment horizontal="center" wrapText="1"/>
    </xf>
    <xf numFmtId="0" fontId="5" fillId="0" borderId="34" xfId="0" applyFont="1" applyFill="1" applyBorder="1" applyAlignment="1">
      <alignment horizontal="center" wrapText="1"/>
    </xf>
    <xf numFmtId="0" fontId="45" fillId="0" borderId="21" xfId="0" applyFont="1" applyFill="1" applyBorder="1" applyAlignment="1">
      <alignment horizontal="center" wrapText="1"/>
    </xf>
    <xf numFmtId="0" fontId="0" fillId="0" borderId="22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5" fillId="0" borderId="29" xfId="0" applyFont="1" applyFill="1" applyBorder="1" applyAlignment="1">
      <alignment horizontal="center" wrapText="1"/>
    </xf>
    <xf numFmtId="0" fontId="5" fillId="0" borderId="26" xfId="0" applyFont="1" applyFill="1" applyBorder="1" applyAlignment="1">
      <alignment horizontal="center" textRotation="90" wrapText="1"/>
    </xf>
    <xf numFmtId="0" fontId="5" fillId="0" borderId="30" xfId="0" applyFont="1" applyFill="1" applyBorder="1" applyAlignment="1">
      <alignment horizontal="center" textRotation="90" wrapText="1"/>
    </xf>
    <xf numFmtId="0" fontId="5" fillId="0" borderId="20" xfId="0" applyFont="1" applyFill="1" applyBorder="1" applyAlignment="1">
      <alignment horizontal="center" textRotation="90" wrapText="1"/>
    </xf>
    <xf numFmtId="0" fontId="0" fillId="0" borderId="14" xfId="0" applyFill="1" applyBorder="1" applyAlignment="1">
      <alignment textRotation="90" wrapText="1"/>
    </xf>
    <xf numFmtId="0" fontId="5" fillId="0" borderId="14" xfId="0" applyFont="1" applyFill="1" applyBorder="1" applyAlignment="1">
      <alignment horizontal="center" textRotation="90" wrapText="1"/>
    </xf>
    <xf numFmtId="0" fontId="5" fillId="0" borderId="27" xfId="0" applyFont="1" applyFill="1" applyBorder="1" applyAlignment="1">
      <alignment horizontal="center" wrapText="1"/>
    </xf>
    <xf numFmtId="0" fontId="5" fillId="0" borderId="28" xfId="0" applyFont="1" applyFill="1" applyBorder="1" applyAlignment="1">
      <alignment horizontal="center" wrapText="1"/>
    </xf>
    <xf numFmtId="0" fontId="0" fillId="0" borderId="31" xfId="0" applyFill="1" applyBorder="1" applyAlignment="1">
      <alignment horizontal="center" wrapText="1"/>
    </xf>
    <xf numFmtId="0" fontId="0" fillId="0" borderId="32" xfId="0" applyFill="1" applyBorder="1" applyAlignment="1">
      <alignment horizontal="center" wrapText="1"/>
    </xf>
    <xf numFmtId="0" fontId="0" fillId="0" borderId="33" xfId="0" applyFill="1" applyBorder="1" applyAlignment="1">
      <alignment wrapText="1"/>
    </xf>
    <xf numFmtId="0" fontId="5" fillId="0" borderId="30" xfId="0" applyFont="1" applyFill="1" applyBorder="1" applyAlignment="1">
      <alignment horizontal="center" wrapText="1"/>
    </xf>
    <xf numFmtId="0" fontId="0" fillId="0" borderId="30" xfId="0" applyFill="1" applyBorder="1" applyAlignment="1">
      <alignment wrapText="1"/>
    </xf>
    <xf numFmtId="0" fontId="5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45" fillId="0" borderId="22" xfId="0" applyFont="1" applyFill="1" applyBorder="1" applyAlignment="1">
      <alignment horizontal="center" wrapText="1"/>
    </xf>
    <xf numFmtId="0" fontId="45" fillId="0" borderId="23" xfId="0" applyFont="1" applyFill="1" applyBorder="1" applyAlignment="1">
      <alignment horizontal="center" wrapText="1"/>
    </xf>
    <xf numFmtId="0" fontId="45" fillId="0" borderId="27" xfId="0" applyFont="1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46" xfId="0" applyFill="1" applyBorder="1" applyAlignment="1">
      <alignment wrapText="1"/>
    </xf>
    <xf numFmtId="0" fontId="45" fillId="0" borderId="27" xfId="0" applyFont="1" applyFill="1" applyBorder="1" applyAlignment="1">
      <alignment horizontal="center" wrapText="1"/>
    </xf>
    <xf numFmtId="0" fontId="0" fillId="0" borderId="44" xfId="0" applyFill="1" applyBorder="1" applyAlignment="1">
      <alignment horizontal="center" wrapText="1"/>
    </xf>
    <xf numFmtId="0" fontId="0" fillId="0" borderId="45" xfId="0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60" fillId="0" borderId="22" xfId="0" applyFont="1" applyFill="1" applyBorder="1" applyAlignment="1">
      <alignment horizontal="center" wrapText="1"/>
    </xf>
    <xf numFmtId="0" fontId="60" fillId="0" borderId="23" xfId="0" applyFont="1" applyFill="1" applyBorder="1" applyAlignment="1">
      <alignment horizont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textRotation="90" wrapText="1"/>
    </xf>
    <xf numFmtId="0" fontId="5" fillId="0" borderId="30" xfId="0" applyFont="1" applyFill="1" applyBorder="1" applyAlignment="1">
      <alignment horizontal="center" vertical="center" textRotation="90" wrapText="1"/>
    </xf>
    <xf numFmtId="0" fontId="5" fillId="0" borderId="20" xfId="0" applyFont="1" applyFill="1" applyBorder="1" applyAlignment="1">
      <alignment horizontal="center" vertical="center" textRotation="90" wrapText="1"/>
    </xf>
    <xf numFmtId="0" fontId="0" fillId="0" borderId="14" xfId="0" applyFill="1" applyBorder="1" applyAlignment="1">
      <alignment vertical="center" textRotation="90" wrapText="1"/>
    </xf>
    <xf numFmtId="0" fontId="5" fillId="0" borderId="14" xfId="0" applyFont="1" applyFill="1" applyBorder="1" applyAlignment="1">
      <alignment horizontal="center" vertical="center" textRotation="90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33" xfId="0" applyFill="1" applyBorder="1" applyAlignment="1">
      <alignment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vertical="center" wrapText="1"/>
    </xf>
    <xf numFmtId="0" fontId="49" fillId="0" borderId="44" xfId="0" applyFont="1" applyFill="1" applyBorder="1" applyAlignment="1">
      <alignment horizontal="center"/>
    </xf>
    <xf numFmtId="0" fontId="0" fillId="0" borderId="22" xfId="0" applyFill="1" applyBorder="1" applyAlignment="1">
      <alignment horizontal="center" wrapText="1"/>
    </xf>
    <xf numFmtId="0" fontId="59" fillId="0" borderId="5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44" xfId="0" applyFont="1" applyFill="1" applyBorder="1" applyAlignment="1">
      <alignment horizontal="center" wrapText="1"/>
    </xf>
    <xf numFmtId="0" fontId="4" fillId="0" borderId="27" xfId="0" applyFont="1" applyFill="1" applyBorder="1" applyAlignment="1">
      <alignment horizontal="center" wrapText="1"/>
    </xf>
    <xf numFmtId="0" fontId="4" fillId="0" borderId="49" xfId="0" applyFont="1" applyFill="1" applyBorder="1" applyAlignment="1">
      <alignment horizontal="center" wrapText="1"/>
    </xf>
    <xf numFmtId="0" fontId="0" fillId="0" borderId="50" xfId="0" applyFill="1" applyBorder="1" applyAlignment="1">
      <alignment horizontal="center" wrapText="1"/>
    </xf>
    <xf numFmtId="0" fontId="50" fillId="0" borderId="1" xfId="0" applyFont="1" applyBorder="1" applyAlignment="1">
      <alignment horizontal="center" textRotation="90" wrapText="1"/>
    </xf>
    <xf numFmtId="0" fontId="50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textRotation="90" wrapText="1"/>
    </xf>
    <xf numFmtId="0" fontId="6" fillId="0" borderId="1" xfId="0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F99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1"/>
  <sheetViews>
    <sheetView workbookViewId="0">
      <selection activeCell="B3" sqref="B3:C14"/>
    </sheetView>
  </sheetViews>
  <sheetFormatPr defaultRowHeight="15"/>
  <cols>
    <col min="1" max="1" width="9.140625" style="106"/>
    <col min="2" max="2" width="33.85546875" style="106" customWidth="1"/>
    <col min="3" max="3" width="20.7109375" style="106" customWidth="1"/>
    <col min="4" max="4" width="10.28515625" style="114" customWidth="1"/>
    <col min="5" max="6" width="9.28515625" style="106" bestFit="1" customWidth="1"/>
    <col min="7" max="7" width="12.42578125" style="106" bestFit="1" customWidth="1"/>
    <col min="8" max="8" width="16.7109375" style="106" customWidth="1"/>
    <col min="9" max="9" width="13.5703125" style="106" customWidth="1"/>
    <col min="10" max="10" width="11.42578125" style="106" bestFit="1" customWidth="1"/>
    <col min="11" max="11" width="17.5703125" style="106" customWidth="1"/>
    <col min="12" max="12" width="17.42578125" style="106" customWidth="1"/>
    <col min="13" max="16384" width="9.140625" style="106"/>
  </cols>
  <sheetData>
    <row r="1" spans="1:22">
      <c r="B1" s="113"/>
      <c r="C1" s="113"/>
      <c r="D1" s="1168" t="s">
        <v>228</v>
      </c>
      <c r="E1" s="1168"/>
      <c r="F1" s="1168"/>
      <c r="G1" s="1168"/>
      <c r="H1" s="1168"/>
    </row>
    <row r="2" spans="1:22" ht="45" customHeight="1">
      <c r="B2" s="171" t="s">
        <v>0</v>
      </c>
      <c r="C2" s="171" t="s">
        <v>2</v>
      </c>
      <c r="D2" s="172">
        <v>2008</v>
      </c>
      <c r="E2" s="173">
        <v>2009</v>
      </c>
      <c r="F2" s="173">
        <v>2010</v>
      </c>
      <c r="G2" s="173">
        <v>2011</v>
      </c>
      <c r="H2" s="174" t="s">
        <v>45</v>
      </c>
      <c r="J2" s="107"/>
      <c r="K2" s="107"/>
    </row>
    <row r="3" spans="1:22" ht="19.5" customHeight="1">
      <c r="A3" s="106">
        <v>1</v>
      </c>
      <c r="B3" s="205" t="s">
        <v>302</v>
      </c>
      <c r="C3" s="205"/>
      <c r="D3" s="572">
        <f>D4</f>
        <v>7983</v>
      </c>
      <c r="E3" s="572">
        <f>E4</f>
        <v>7977</v>
      </c>
      <c r="F3" s="572">
        <f>F4</f>
        <v>7953</v>
      </c>
      <c r="G3" s="572">
        <f>G4</f>
        <v>7885</v>
      </c>
      <c r="H3" s="202"/>
      <c r="J3" s="107"/>
      <c r="K3" s="107"/>
    </row>
    <row r="4" spans="1:22" ht="18" customHeight="1">
      <c r="A4" s="712">
        <v>1</v>
      </c>
      <c r="B4" s="139"/>
      <c r="C4" s="139" t="s">
        <v>302</v>
      </c>
      <c r="D4" s="172">
        <v>7983</v>
      </c>
      <c r="E4" s="173">
        <v>7977</v>
      </c>
      <c r="F4" s="173">
        <v>7953</v>
      </c>
      <c r="G4" s="173">
        <v>7885</v>
      </c>
      <c r="H4" s="174"/>
      <c r="J4" s="107"/>
      <c r="K4" s="107"/>
    </row>
    <row r="5" spans="1:22" ht="17.25" customHeight="1">
      <c r="A5" s="106">
        <v>2</v>
      </c>
      <c r="B5" s="201" t="s">
        <v>299</v>
      </c>
      <c r="C5" s="205"/>
      <c r="D5" s="203">
        <v>1925</v>
      </c>
      <c r="E5" s="203">
        <f>SUM(E6:E9)</f>
        <v>1915</v>
      </c>
      <c r="F5" s="203">
        <f>SUM(F6:F9)</f>
        <v>1729</v>
      </c>
      <c r="G5" s="203">
        <f>SUM(G6:G9)</f>
        <v>1736</v>
      </c>
      <c r="H5" s="204">
        <v>139</v>
      </c>
      <c r="J5" s="107"/>
      <c r="K5" s="107"/>
    </row>
    <row r="6" spans="1:22" ht="16.5" customHeight="1">
      <c r="A6" s="712">
        <v>2</v>
      </c>
      <c r="B6" s="171"/>
      <c r="C6" s="200" t="s">
        <v>299</v>
      </c>
      <c r="D6" s="172"/>
      <c r="E6" s="173">
        <v>1756</v>
      </c>
      <c r="F6" s="173">
        <v>1576</v>
      </c>
      <c r="G6" s="173">
        <v>1583</v>
      </c>
      <c r="H6" s="174"/>
      <c r="I6" s="573">
        <f>(E6+F6+G6)/3</f>
        <v>1638.3333333333333</v>
      </c>
      <c r="J6" s="574">
        <f>(E6-G6)/3</f>
        <v>57.666666666666664</v>
      </c>
      <c r="K6" s="574">
        <f>I6-J6*10</f>
        <v>1061.6666666666665</v>
      </c>
      <c r="L6" s="574">
        <f>I6-J6*20</f>
        <v>485</v>
      </c>
    </row>
    <row r="7" spans="1:22" ht="18.75" customHeight="1">
      <c r="A7" s="712">
        <v>3</v>
      </c>
      <c r="B7" s="171"/>
      <c r="C7" s="200" t="s">
        <v>225</v>
      </c>
      <c r="D7" s="172"/>
      <c r="E7" s="173">
        <v>23</v>
      </c>
      <c r="F7" s="173">
        <v>22</v>
      </c>
      <c r="G7" s="173">
        <v>21</v>
      </c>
      <c r="H7" s="174"/>
      <c r="I7" s="573">
        <f>(E7+F7+G7)/3</f>
        <v>22</v>
      </c>
      <c r="J7" s="574">
        <f>(E7-G7)/3</f>
        <v>0.66666666666666663</v>
      </c>
      <c r="K7" s="574">
        <f t="shared" ref="K7:K53" si="0">I7-J7*10</f>
        <v>15.333333333333334</v>
      </c>
      <c r="L7" s="574">
        <f t="shared" ref="L7:L53" si="1">I7-J7*20</f>
        <v>8.6666666666666679</v>
      </c>
    </row>
    <row r="8" spans="1:22" ht="15" customHeight="1">
      <c r="A8" s="712">
        <v>4</v>
      </c>
      <c r="B8" s="171"/>
      <c r="C8" s="200" t="s">
        <v>509</v>
      </c>
      <c r="D8" s="172"/>
      <c r="E8" s="173">
        <v>60</v>
      </c>
      <c r="F8" s="173">
        <v>59</v>
      </c>
      <c r="G8" s="173">
        <v>59</v>
      </c>
      <c r="H8" s="174">
        <f>G6+G7+G8</f>
        <v>1663</v>
      </c>
      <c r="I8" s="573">
        <f t="shared" ref="I8:I53" si="2">(E8+F8+G8)/3</f>
        <v>59.333333333333336</v>
      </c>
      <c r="J8" s="574">
        <f t="shared" ref="J8:J53" si="3">(E8-G8)/3</f>
        <v>0.33333333333333331</v>
      </c>
      <c r="K8" s="574">
        <f t="shared" si="0"/>
        <v>56</v>
      </c>
      <c r="L8" s="574">
        <f t="shared" si="1"/>
        <v>52.666666666666671</v>
      </c>
    </row>
    <row r="9" spans="1:22" s="112" customFormat="1" ht="15.75" customHeight="1">
      <c r="A9" s="712">
        <v>5</v>
      </c>
      <c r="B9" s="176"/>
      <c r="C9" s="200" t="s">
        <v>300</v>
      </c>
      <c r="D9" s="172"/>
      <c r="E9" s="173">
        <v>76</v>
      </c>
      <c r="F9" s="173">
        <v>72</v>
      </c>
      <c r="G9" s="173">
        <v>73</v>
      </c>
      <c r="H9" s="174"/>
      <c r="I9" s="573">
        <f t="shared" si="2"/>
        <v>73.666666666666671</v>
      </c>
      <c r="J9" s="574">
        <f t="shared" si="3"/>
        <v>1</v>
      </c>
      <c r="K9" s="574">
        <f t="shared" si="0"/>
        <v>63.666666666666671</v>
      </c>
      <c r="L9" s="574">
        <f t="shared" si="1"/>
        <v>53.666666666666671</v>
      </c>
      <c r="M9" s="111"/>
      <c r="N9" s="111"/>
      <c r="O9" s="111"/>
      <c r="P9" s="111"/>
      <c r="Q9" s="111"/>
      <c r="R9" s="111"/>
      <c r="S9" s="111"/>
      <c r="T9" s="111"/>
      <c r="U9" s="111"/>
      <c r="V9" s="111"/>
    </row>
    <row r="10" spans="1:22" ht="15" customHeight="1">
      <c r="A10" s="106">
        <v>3</v>
      </c>
      <c r="B10" s="184" t="s">
        <v>254</v>
      </c>
      <c r="C10" s="184"/>
      <c r="D10" s="184">
        <v>507</v>
      </c>
      <c r="E10" s="190">
        <f>E11+E12</f>
        <v>509</v>
      </c>
      <c r="F10" s="190">
        <f>F11+F12</f>
        <v>509</v>
      </c>
      <c r="G10" s="190">
        <f>G11+G12</f>
        <v>525</v>
      </c>
      <c r="H10" s="190"/>
      <c r="I10" s="573">
        <f t="shared" si="2"/>
        <v>514.33333333333337</v>
      </c>
      <c r="J10" s="574">
        <f t="shared" si="3"/>
        <v>-5.333333333333333</v>
      </c>
      <c r="K10" s="574">
        <f t="shared" si="0"/>
        <v>567.66666666666674</v>
      </c>
      <c r="L10" s="574">
        <f t="shared" si="1"/>
        <v>621</v>
      </c>
    </row>
    <row r="11" spans="1:22" ht="15" customHeight="1">
      <c r="A11" s="712">
        <v>6</v>
      </c>
      <c r="B11" s="108"/>
      <c r="C11" s="102" t="s">
        <v>255</v>
      </c>
      <c r="D11" s="186"/>
      <c r="E11" s="104">
        <v>225</v>
      </c>
      <c r="F11" s="104">
        <v>223</v>
      </c>
      <c r="G11" s="104">
        <v>232</v>
      </c>
      <c r="H11" s="104"/>
      <c r="I11" s="573">
        <f t="shared" si="2"/>
        <v>226.66666666666666</v>
      </c>
      <c r="J11" s="574">
        <f t="shared" si="3"/>
        <v>-2.3333333333333335</v>
      </c>
      <c r="K11" s="574">
        <f t="shared" si="0"/>
        <v>250</v>
      </c>
      <c r="L11" s="574">
        <f t="shared" si="1"/>
        <v>273.33333333333331</v>
      </c>
    </row>
    <row r="12" spans="1:22" s="112" customFormat="1" ht="15.75">
      <c r="A12" s="713">
        <v>7</v>
      </c>
      <c r="B12" s="213"/>
      <c r="C12" s="214" t="s">
        <v>256</v>
      </c>
      <c r="D12" s="186"/>
      <c r="E12" s="104">
        <v>284</v>
      </c>
      <c r="F12" s="104">
        <v>286</v>
      </c>
      <c r="G12" s="104">
        <v>293</v>
      </c>
      <c r="H12" s="105"/>
      <c r="I12" s="573">
        <f t="shared" si="2"/>
        <v>287.66666666666669</v>
      </c>
      <c r="J12" s="574">
        <f t="shared" si="3"/>
        <v>-3</v>
      </c>
      <c r="K12" s="574">
        <f t="shared" si="0"/>
        <v>317.66666666666669</v>
      </c>
      <c r="L12" s="574">
        <f t="shared" si="1"/>
        <v>347.66666666666669</v>
      </c>
      <c r="M12" s="111"/>
      <c r="N12" s="111"/>
      <c r="O12" s="111"/>
      <c r="P12" s="111"/>
      <c r="Q12" s="111"/>
      <c r="R12" s="111"/>
      <c r="S12" s="111"/>
      <c r="T12" s="111"/>
      <c r="U12" s="111"/>
      <c r="V12" s="111"/>
    </row>
    <row r="13" spans="1:22" ht="15" customHeight="1">
      <c r="A13" s="106">
        <v>4</v>
      </c>
      <c r="B13" s="184" t="s">
        <v>257</v>
      </c>
      <c r="C13" s="184"/>
      <c r="D13" s="190">
        <v>1246</v>
      </c>
      <c r="E13" s="190">
        <f>E14+E15+E16</f>
        <v>1249</v>
      </c>
      <c r="F13" s="190">
        <f>F14+F15+F16</f>
        <v>1106</v>
      </c>
      <c r="G13" s="190">
        <f>G14+G15+G16</f>
        <v>1107</v>
      </c>
      <c r="H13" s="190">
        <f>H14+H15+H16</f>
        <v>0</v>
      </c>
      <c r="I13" s="573">
        <f t="shared" si="2"/>
        <v>1154</v>
      </c>
      <c r="J13" s="574">
        <f t="shared" si="3"/>
        <v>47.333333333333336</v>
      </c>
      <c r="K13" s="574">
        <f t="shared" si="0"/>
        <v>680.66666666666663</v>
      </c>
      <c r="L13" s="574">
        <f t="shared" si="1"/>
        <v>207.33333333333326</v>
      </c>
    </row>
    <row r="14" spans="1:22" s="112" customFormat="1" ht="15.75">
      <c r="A14" s="712">
        <v>8</v>
      </c>
      <c r="B14" s="102"/>
      <c r="C14" s="102" t="s">
        <v>258</v>
      </c>
      <c r="D14" s="186"/>
      <c r="E14" s="104">
        <v>797</v>
      </c>
      <c r="F14" s="104">
        <v>670</v>
      </c>
      <c r="G14" s="104">
        <v>701</v>
      </c>
      <c r="H14" s="104"/>
      <c r="I14" s="573">
        <f t="shared" si="2"/>
        <v>722.66666666666663</v>
      </c>
      <c r="J14" s="574">
        <f t="shared" si="3"/>
        <v>32</v>
      </c>
      <c r="K14" s="574">
        <f t="shared" si="0"/>
        <v>402.66666666666663</v>
      </c>
      <c r="L14" s="574">
        <f t="shared" si="1"/>
        <v>82.666666666666629</v>
      </c>
      <c r="M14" s="111"/>
      <c r="N14" s="111"/>
      <c r="O14" s="111"/>
      <c r="P14" s="111"/>
      <c r="Q14" s="111"/>
      <c r="R14" s="111"/>
      <c r="S14" s="111"/>
      <c r="T14" s="111"/>
      <c r="U14" s="111"/>
      <c r="V14" s="111"/>
    </row>
    <row r="15" spans="1:22" ht="15.75">
      <c r="A15" s="712">
        <v>9</v>
      </c>
      <c r="B15" s="102"/>
      <c r="C15" s="102" t="s">
        <v>259</v>
      </c>
      <c r="D15" s="186"/>
      <c r="E15" s="104">
        <v>90</v>
      </c>
      <c r="F15" s="104">
        <v>91</v>
      </c>
      <c r="G15" s="104">
        <v>87</v>
      </c>
      <c r="H15" s="104"/>
      <c r="I15" s="573">
        <f t="shared" si="2"/>
        <v>89.333333333333329</v>
      </c>
      <c r="J15" s="574">
        <f>(E15-G15)/3</f>
        <v>1</v>
      </c>
      <c r="K15" s="574">
        <f>I15-J15*10</f>
        <v>79.333333333333329</v>
      </c>
      <c r="L15" s="574">
        <f t="shared" si="1"/>
        <v>69.333333333333329</v>
      </c>
    </row>
    <row r="16" spans="1:22" ht="15.75">
      <c r="A16" s="712">
        <v>10</v>
      </c>
      <c r="B16" s="176"/>
      <c r="C16" s="102" t="s">
        <v>260</v>
      </c>
      <c r="D16" s="102"/>
      <c r="E16" s="104">
        <v>362</v>
      </c>
      <c r="F16" s="104">
        <v>345</v>
      </c>
      <c r="G16" s="104">
        <v>319</v>
      </c>
      <c r="H16" s="104"/>
      <c r="I16" s="573">
        <f t="shared" si="2"/>
        <v>342</v>
      </c>
      <c r="J16" s="574">
        <f t="shared" si="3"/>
        <v>14.333333333333334</v>
      </c>
      <c r="K16" s="574">
        <f t="shared" si="0"/>
        <v>198.66666666666666</v>
      </c>
      <c r="L16" s="574">
        <f t="shared" si="1"/>
        <v>55.333333333333314</v>
      </c>
    </row>
    <row r="17" spans="1:22" ht="16.5" customHeight="1">
      <c r="A17" s="106">
        <v>5</v>
      </c>
      <c r="B17" s="184" t="s">
        <v>261</v>
      </c>
      <c r="C17" s="184"/>
      <c r="D17" s="184">
        <v>789</v>
      </c>
      <c r="E17" s="190">
        <f>E18+E19</f>
        <v>790</v>
      </c>
      <c r="F17" s="190">
        <f>F18+F19</f>
        <v>777</v>
      </c>
      <c r="G17" s="190">
        <f>G18+G19</f>
        <v>782</v>
      </c>
      <c r="H17" s="190">
        <v>125</v>
      </c>
      <c r="I17" s="573">
        <f t="shared" si="2"/>
        <v>783</v>
      </c>
      <c r="J17" s="574">
        <f t="shared" si="3"/>
        <v>2.6666666666666665</v>
      </c>
      <c r="K17" s="574">
        <f t="shared" si="0"/>
        <v>756.33333333333337</v>
      </c>
      <c r="L17" s="574">
        <f t="shared" si="1"/>
        <v>729.66666666666663</v>
      </c>
    </row>
    <row r="18" spans="1:22" ht="15.75">
      <c r="A18" s="712">
        <v>11</v>
      </c>
      <c r="B18" s="102"/>
      <c r="C18" s="102" t="s">
        <v>262</v>
      </c>
      <c r="D18" s="186"/>
      <c r="E18" s="104">
        <v>610</v>
      </c>
      <c r="F18" s="104">
        <v>601</v>
      </c>
      <c r="G18" s="104">
        <v>606</v>
      </c>
      <c r="H18" s="105"/>
      <c r="I18" s="573">
        <f t="shared" si="2"/>
        <v>605.66666666666663</v>
      </c>
      <c r="J18" s="574">
        <f t="shared" si="3"/>
        <v>1.3333333333333333</v>
      </c>
      <c r="K18" s="574">
        <f t="shared" si="0"/>
        <v>592.33333333333326</v>
      </c>
      <c r="L18" s="574">
        <f t="shared" si="1"/>
        <v>579</v>
      </c>
    </row>
    <row r="19" spans="1:22" ht="15.75">
      <c r="A19" s="712">
        <v>12</v>
      </c>
      <c r="B19" s="176"/>
      <c r="C19" s="102" t="s">
        <v>263</v>
      </c>
      <c r="D19" s="186"/>
      <c r="E19" s="104">
        <v>180</v>
      </c>
      <c r="F19" s="104">
        <v>176</v>
      </c>
      <c r="G19" s="104">
        <v>176</v>
      </c>
      <c r="H19" s="104"/>
      <c r="I19" s="573">
        <f t="shared" si="2"/>
        <v>177.33333333333334</v>
      </c>
      <c r="J19" s="574">
        <f t="shared" si="3"/>
        <v>1.3333333333333333</v>
      </c>
      <c r="K19" s="574">
        <f t="shared" si="0"/>
        <v>164</v>
      </c>
      <c r="L19" s="574">
        <f t="shared" si="1"/>
        <v>150.66666666666669</v>
      </c>
    </row>
    <row r="20" spans="1:22" ht="18.75" customHeight="1">
      <c r="A20" s="106">
        <v>6</v>
      </c>
      <c r="B20" s="184" t="s">
        <v>264</v>
      </c>
      <c r="C20" s="184"/>
      <c r="D20" s="190">
        <v>437</v>
      </c>
      <c r="E20" s="190">
        <v>456</v>
      </c>
      <c r="F20" s="190">
        <v>473</v>
      </c>
      <c r="G20" s="190">
        <f>G21+G22</f>
        <v>480</v>
      </c>
      <c r="H20" s="189"/>
      <c r="I20" s="573">
        <f t="shared" si="2"/>
        <v>469.66666666666669</v>
      </c>
      <c r="J20" s="574">
        <f>(E20-G20)/3</f>
        <v>-8</v>
      </c>
      <c r="K20" s="574">
        <f>I20-J20*10</f>
        <v>549.66666666666674</v>
      </c>
      <c r="L20" s="574">
        <f t="shared" si="1"/>
        <v>629.66666666666674</v>
      </c>
    </row>
    <row r="21" spans="1:22" s="112" customFormat="1" ht="15.75">
      <c r="A21" s="712">
        <v>13</v>
      </c>
      <c r="B21" s="102"/>
      <c r="C21" s="102" t="s">
        <v>265</v>
      </c>
      <c r="D21" s="186"/>
      <c r="E21" s="104">
        <v>350</v>
      </c>
      <c r="F21" s="104">
        <v>367</v>
      </c>
      <c r="G21" s="104">
        <v>377</v>
      </c>
      <c r="H21" s="104"/>
      <c r="I21" s="573">
        <f t="shared" si="2"/>
        <v>364.66666666666669</v>
      </c>
      <c r="J21" s="574">
        <f>(E21-G21)/3</f>
        <v>-9</v>
      </c>
      <c r="K21" s="574">
        <f>I21-J21*10</f>
        <v>454.66666666666669</v>
      </c>
      <c r="L21" s="574">
        <f t="shared" si="1"/>
        <v>544.66666666666674</v>
      </c>
      <c r="M21" s="111"/>
      <c r="N21" s="111"/>
      <c r="O21" s="111"/>
      <c r="P21" s="111"/>
      <c r="Q21" s="111"/>
      <c r="R21" s="111"/>
      <c r="S21" s="111"/>
      <c r="T21" s="111"/>
      <c r="U21" s="111"/>
      <c r="V21" s="111"/>
    </row>
    <row r="22" spans="1:22" ht="15.75">
      <c r="A22" s="712">
        <v>14</v>
      </c>
      <c r="B22" s="212"/>
      <c r="C22" s="102" t="s">
        <v>266</v>
      </c>
      <c r="D22" s="186"/>
      <c r="E22" s="104">
        <v>106</v>
      </c>
      <c r="F22" s="104">
        <v>106</v>
      </c>
      <c r="G22" s="104">
        <v>103</v>
      </c>
      <c r="H22" s="104"/>
      <c r="I22" s="573">
        <f t="shared" si="2"/>
        <v>105</v>
      </c>
      <c r="J22" s="574">
        <f t="shared" si="3"/>
        <v>1</v>
      </c>
      <c r="K22" s="574">
        <f t="shared" si="0"/>
        <v>95</v>
      </c>
      <c r="L22" s="574">
        <f t="shared" si="1"/>
        <v>85</v>
      </c>
    </row>
    <row r="23" spans="1:22" s="112" customFormat="1" ht="18" customHeight="1">
      <c r="A23" s="111">
        <v>7</v>
      </c>
      <c r="B23" s="184" t="s">
        <v>267</v>
      </c>
      <c r="C23" s="184"/>
      <c r="D23" s="191">
        <v>566</v>
      </c>
      <c r="E23" s="191">
        <f>E24+E25+E26</f>
        <v>551</v>
      </c>
      <c r="F23" s="191">
        <f>F24+F25+F26</f>
        <v>542</v>
      </c>
      <c r="G23" s="191">
        <f>G24+G25+G26</f>
        <v>551</v>
      </c>
      <c r="H23" s="190">
        <v>56</v>
      </c>
      <c r="I23" s="573">
        <f t="shared" si="2"/>
        <v>548</v>
      </c>
      <c r="J23" s="574">
        <f t="shared" si="3"/>
        <v>0</v>
      </c>
      <c r="K23" s="574">
        <f t="shared" si="0"/>
        <v>548</v>
      </c>
      <c r="L23" s="574">
        <f t="shared" si="1"/>
        <v>548</v>
      </c>
      <c r="M23" s="111"/>
      <c r="N23" s="111"/>
      <c r="O23" s="111"/>
      <c r="P23" s="111"/>
      <c r="Q23" s="111"/>
      <c r="R23" s="111"/>
      <c r="S23" s="111"/>
      <c r="T23" s="111"/>
      <c r="U23" s="111"/>
      <c r="V23" s="111"/>
    </row>
    <row r="24" spans="1:22" ht="15.75">
      <c r="A24" s="712">
        <v>15</v>
      </c>
      <c r="B24" s="102"/>
      <c r="C24" s="102" t="s">
        <v>268</v>
      </c>
      <c r="D24" s="186"/>
      <c r="E24" s="104">
        <v>399</v>
      </c>
      <c r="F24" s="104">
        <v>395</v>
      </c>
      <c r="G24" s="104">
        <v>402</v>
      </c>
      <c r="H24" s="187"/>
      <c r="I24" s="573">
        <f t="shared" si="2"/>
        <v>398.66666666666669</v>
      </c>
      <c r="J24" s="574">
        <f t="shared" si="3"/>
        <v>-1</v>
      </c>
      <c r="K24" s="574">
        <f t="shared" si="0"/>
        <v>408.66666666666669</v>
      </c>
      <c r="L24" s="574">
        <f t="shared" si="1"/>
        <v>418.66666666666669</v>
      </c>
    </row>
    <row r="25" spans="1:22" s="112" customFormat="1" ht="15.75">
      <c r="A25" s="712">
        <v>16</v>
      </c>
      <c r="B25" s="102"/>
      <c r="C25" s="102" t="s">
        <v>269</v>
      </c>
      <c r="D25" s="186"/>
      <c r="E25" s="104">
        <v>87</v>
      </c>
      <c r="F25" s="104">
        <v>85</v>
      </c>
      <c r="G25" s="104">
        <v>87</v>
      </c>
      <c r="H25" s="104"/>
      <c r="I25" s="573">
        <f t="shared" si="2"/>
        <v>86.333333333333329</v>
      </c>
      <c r="J25" s="574">
        <f t="shared" si="3"/>
        <v>0</v>
      </c>
      <c r="K25" s="574">
        <f t="shared" si="0"/>
        <v>86.333333333333329</v>
      </c>
      <c r="L25" s="574">
        <f t="shared" si="1"/>
        <v>86.333333333333329</v>
      </c>
      <c r="M25" s="111"/>
      <c r="N25" s="111"/>
      <c r="O25" s="111"/>
      <c r="P25" s="111"/>
      <c r="Q25" s="111"/>
      <c r="R25" s="111"/>
      <c r="S25" s="111"/>
      <c r="T25" s="111"/>
      <c r="U25" s="111"/>
      <c r="V25" s="111"/>
    </row>
    <row r="26" spans="1:22" ht="15.75">
      <c r="A26" s="712">
        <v>17</v>
      </c>
      <c r="B26" s="176"/>
      <c r="C26" s="102" t="s">
        <v>270</v>
      </c>
      <c r="D26" s="186"/>
      <c r="E26" s="104">
        <v>65</v>
      </c>
      <c r="F26" s="104">
        <v>62</v>
      </c>
      <c r="G26" s="104">
        <v>62</v>
      </c>
      <c r="H26" s="175"/>
      <c r="I26" s="573">
        <f t="shared" si="2"/>
        <v>63</v>
      </c>
      <c r="J26" s="574">
        <f t="shared" si="3"/>
        <v>1</v>
      </c>
      <c r="K26" s="574">
        <f t="shared" si="0"/>
        <v>53</v>
      </c>
      <c r="L26" s="574">
        <f t="shared" si="1"/>
        <v>43</v>
      </c>
    </row>
    <row r="27" spans="1:22" ht="15.75" customHeight="1">
      <c r="A27" s="106">
        <v>8</v>
      </c>
      <c r="B27" s="184" t="s">
        <v>271</v>
      </c>
      <c r="C27" s="184"/>
      <c r="D27" s="184">
        <v>1784</v>
      </c>
      <c r="E27" s="190">
        <f>SUM(E28:E32)</f>
        <v>1722</v>
      </c>
      <c r="F27" s="190">
        <f>SUM(F28:F32)</f>
        <v>1662</v>
      </c>
      <c r="G27" s="190">
        <f>SUM(G28:G32)</f>
        <v>1680</v>
      </c>
      <c r="H27" s="190">
        <v>364</v>
      </c>
      <c r="I27" s="573">
        <f t="shared" si="2"/>
        <v>1688</v>
      </c>
      <c r="J27" s="574">
        <f t="shared" si="3"/>
        <v>14</v>
      </c>
      <c r="K27" s="574">
        <f t="shared" si="0"/>
        <v>1548</v>
      </c>
      <c r="L27" s="574">
        <f t="shared" si="1"/>
        <v>1408</v>
      </c>
    </row>
    <row r="28" spans="1:22" ht="15.75">
      <c r="A28" s="712">
        <v>18</v>
      </c>
      <c r="B28" s="102"/>
      <c r="C28" s="102" t="s">
        <v>272</v>
      </c>
      <c r="D28" s="186"/>
      <c r="E28" s="105">
        <v>555</v>
      </c>
      <c r="F28" s="105">
        <v>540</v>
      </c>
      <c r="G28" s="105">
        <v>566</v>
      </c>
      <c r="H28" s="105"/>
      <c r="I28" s="573">
        <f t="shared" si="2"/>
        <v>553.66666666666663</v>
      </c>
      <c r="J28" s="574">
        <f t="shared" si="3"/>
        <v>-3.6666666666666665</v>
      </c>
      <c r="K28" s="574">
        <f t="shared" si="0"/>
        <v>590.33333333333326</v>
      </c>
      <c r="L28" s="574">
        <f t="shared" si="1"/>
        <v>627</v>
      </c>
    </row>
    <row r="29" spans="1:22" ht="15.75">
      <c r="A29" s="712">
        <v>19</v>
      </c>
      <c r="B29" s="102"/>
      <c r="C29" s="102" t="s">
        <v>273</v>
      </c>
      <c r="D29" s="186"/>
      <c r="E29" s="105">
        <v>153</v>
      </c>
      <c r="F29" s="105">
        <v>150</v>
      </c>
      <c r="G29" s="105">
        <v>147</v>
      </c>
      <c r="H29" s="105"/>
      <c r="I29" s="573">
        <f t="shared" si="2"/>
        <v>150</v>
      </c>
      <c r="J29" s="574">
        <f t="shared" si="3"/>
        <v>2</v>
      </c>
      <c r="K29" s="574">
        <f t="shared" si="0"/>
        <v>130</v>
      </c>
      <c r="L29" s="574">
        <f t="shared" si="1"/>
        <v>110</v>
      </c>
    </row>
    <row r="30" spans="1:22" ht="15.75">
      <c r="A30" s="712">
        <v>20</v>
      </c>
      <c r="B30" s="102"/>
      <c r="C30" s="102" t="s">
        <v>274</v>
      </c>
      <c r="D30" s="186"/>
      <c r="E30" s="105">
        <v>530</v>
      </c>
      <c r="F30" s="105">
        <v>496</v>
      </c>
      <c r="G30" s="105">
        <v>501</v>
      </c>
      <c r="H30" s="105"/>
      <c r="I30" s="573">
        <f t="shared" si="2"/>
        <v>509</v>
      </c>
      <c r="J30" s="574">
        <f>(E30-G30)/3</f>
        <v>9.6666666666666661</v>
      </c>
      <c r="K30" s="574">
        <f>I30-J30*10</f>
        <v>412.33333333333337</v>
      </c>
      <c r="L30" s="574">
        <f t="shared" si="1"/>
        <v>315.66666666666669</v>
      </c>
    </row>
    <row r="31" spans="1:22" s="112" customFormat="1" ht="15" customHeight="1">
      <c r="A31" s="712">
        <v>21</v>
      </c>
      <c r="B31" s="102"/>
      <c r="C31" s="102" t="s">
        <v>275</v>
      </c>
      <c r="D31" s="186"/>
      <c r="E31" s="104">
        <v>393</v>
      </c>
      <c r="F31" s="104">
        <v>388</v>
      </c>
      <c r="G31" s="104">
        <v>382</v>
      </c>
      <c r="H31" s="104"/>
      <c r="I31" s="573">
        <f t="shared" si="2"/>
        <v>387.66666666666669</v>
      </c>
      <c r="J31" s="574">
        <f t="shared" si="3"/>
        <v>3.6666666666666665</v>
      </c>
      <c r="K31" s="574">
        <f t="shared" si="0"/>
        <v>351</v>
      </c>
      <c r="L31" s="574">
        <f t="shared" si="1"/>
        <v>314.33333333333337</v>
      </c>
      <c r="M31" s="111"/>
      <c r="N31" s="111"/>
      <c r="O31" s="111"/>
      <c r="P31" s="111"/>
      <c r="Q31" s="111"/>
      <c r="R31" s="111"/>
      <c r="S31" s="111"/>
      <c r="T31" s="111"/>
      <c r="U31" s="111"/>
      <c r="V31" s="111"/>
    </row>
    <row r="32" spans="1:22" s="111" customFormat="1" ht="15.75" customHeight="1">
      <c r="A32" s="712">
        <v>22</v>
      </c>
      <c r="B32" s="212"/>
      <c r="C32" s="102" t="s">
        <v>276</v>
      </c>
      <c r="D32" s="186"/>
      <c r="E32" s="104">
        <v>91</v>
      </c>
      <c r="F32" s="104">
        <v>88</v>
      </c>
      <c r="G32" s="104">
        <v>84</v>
      </c>
      <c r="H32" s="104"/>
      <c r="I32" s="573">
        <f t="shared" si="2"/>
        <v>87.666666666666671</v>
      </c>
      <c r="J32" s="574">
        <f t="shared" si="3"/>
        <v>2.3333333333333335</v>
      </c>
      <c r="K32" s="574">
        <f t="shared" si="0"/>
        <v>64.333333333333343</v>
      </c>
      <c r="L32" s="574">
        <f t="shared" si="1"/>
        <v>41</v>
      </c>
    </row>
    <row r="33" spans="1:22" ht="19.5" customHeight="1">
      <c r="A33" s="106">
        <v>9</v>
      </c>
      <c r="B33" s="184" t="s">
        <v>277</v>
      </c>
      <c r="C33" s="184"/>
      <c r="D33" s="190">
        <v>1006</v>
      </c>
      <c r="E33" s="190">
        <f>SUM(E34:E38)</f>
        <v>1025</v>
      </c>
      <c r="F33" s="190">
        <f>SUM(F34:F38)</f>
        <v>922</v>
      </c>
      <c r="G33" s="190">
        <f>SUM(G34:G38)</f>
        <v>933</v>
      </c>
      <c r="H33" s="199">
        <v>145</v>
      </c>
      <c r="I33" s="573">
        <f t="shared" si="2"/>
        <v>960</v>
      </c>
      <c r="J33" s="574">
        <f t="shared" si="3"/>
        <v>30.666666666666668</v>
      </c>
      <c r="K33" s="574">
        <f t="shared" si="0"/>
        <v>653.33333333333326</v>
      </c>
      <c r="L33" s="574">
        <f t="shared" si="1"/>
        <v>346.66666666666663</v>
      </c>
    </row>
    <row r="34" spans="1:22" ht="15.75">
      <c r="A34" s="712">
        <v>23</v>
      </c>
      <c r="B34" s="102"/>
      <c r="C34" s="102" t="s">
        <v>278</v>
      </c>
      <c r="D34" s="186"/>
      <c r="E34" s="104">
        <v>496</v>
      </c>
      <c r="F34" s="104">
        <v>462</v>
      </c>
      <c r="G34" s="104">
        <v>492</v>
      </c>
      <c r="H34" s="104">
        <v>492</v>
      </c>
      <c r="I34" s="573">
        <f t="shared" si="2"/>
        <v>483.33333333333331</v>
      </c>
      <c r="J34" s="574">
        <f t="shared" si="3"/>
        <v>1.3333333333333333</v>
      </c>
      <c r="K34" s="574">
        <f t="shared" si="0"/>
        <v>470</v>
      </c>
      <c r="L34" s="574">
        <f t="shared" si="1"/>
        <v>456.66666666666663</v>
      </c>
    </row>
    <row r="35" spans="1:22" ht="15.75">
      <c r="A35" s="712">
        <v>24</v>
      </c>
      <c r="B35" s="102"/>
      <c r="C35" s="102" t="s">
        <v>279</v>
      </c>
      <c r="D35" s="186"/>
      <c r="E35" s="104">
        <v>162</v>
      </c>
      <c r="F35" s="104">
        <v>135</v>
      </c>
      <c r="G35" s="104">
        <v>134</v>
      </c>
      <c r="H35" s="104">
        <v>134</v>
      </c>
      <c r="I35" s="573">
        <f t="shared" si="2"/>
        <v>143.66666666666666</v>
      </c>
      <c r="J35" s="574">
        <f t="shared" si="3"/>
        <v>9.3333333333333339</v>
      </c>
      <c r="K35" s="574">
        <f t="shared" si="0"/>
        <v>50.333333333333314</v>
      </c>
      <c r="L35" s="574">
        <f t="shared" si="1"/>
        <v>-43.000000000000028</v>
      </c>
    </row>
    <row r="36" spans="1:22" ht="15.75">
      <c r="A36" s="712">
        <v>25</v>
      </c>
      <c r="B36" s="102"/>
      <c r="C36" s="102" t="s">
        <v>280</v>
      </c>
      <c r="D36" s="186"/>
      <c r="E36" s="104">
        <v>154</v>
      </c>
      <c r="F36" s="104">
        <v>147</v>
      </c>
      <c r="G36" s="104">
        <v>134</v>
      </c>
      <c r="H36" s="105">
        <v>134</v>
      </c>
      <c r="I36" s="573">
        <f t="shared" si="2"/>
        <v>145</v>
      </c>
      <c r="J36" s="574">
        <f t="shared" si="3"/>
        <v>6.666666666666667</v>
      </c>
      <c r="K36" s="574">
        <f t="shared" si="0"/>
        <v>78.333333333333329</v>
      </c>
      <c r="L36" s="574">
        <f t="shared" si="1"/>
        <v>11.666666666666657</v>
      </c>
    </row>
    <row r="37" spans="1:22" ht="15.75">
      <c r="A37" s="712">
        <v>26</v>
      </c>
      <c r="B37" s="102"/>
      <c r="C37" s="102" t="s">
        <v>281</v>
      </c>
      <c r="D37" s="186"/>
      <c r="E37" s="104">
        <v>26</v>
      </c>
      <c r="F37" s="104">
        <v>21</v>
      </c>
      <c r="G37" s="104">
        <v>21</v>
      </c>
      <c r="H37" s="104">
        <v>21</v>
      </c>
      <c r="I37" s="573">
        <f t="shared" si="2"/>
        <v>22.666666666666668</v>
      </c>
      <c r="J37" s="574">
        <f t="shared" si="3"/>
        <v>1.6666666666666667</v>
      </c>
      <c r="K37" s="574">
        <f t="shared" si="0"/>
        <v>6</v>
      </c>
      <c r="L37" s="574">
        <f t="shared" si="1"/>
        <v>-10.666666666666668</v>
      </c>
    </row>
    <row r="38" spans="1:22" ht="15.75">
      <c r="A38" s="712">
        <v>27</v>
      </c>
      <c r="B38" s="212"/>
      <c r="C38" s="102" t="s">
        <v>282</v>
      </c>
      <c r="D38" s="186"/>
      <c r="E38" s="104">
        <v>187</v>
      </c>
      <c r="F38" s="104">
        <v>157</v>
      </c>
      <c r="G38" s="104">
        <v>152</v>
      </c>
      <c r="H38" s="104">
        <v>152</v>
      </c>
      <c r="I38" s="573">
        <f t="shared" si="2"/>
        <v>165.33333333333334</v>
      </c>
      <c r="J38" s="574">
        <f t="shared" si="3"/>
        <v>11.666666666666666</v>
      </c>
      <c r="K38" s="574">
        <f t="shared" si="0"/>
        <v>48.666666666666686</v>
      </c>
      <c r="L38" s="574">
        <f t="shared" si="1"/>
        <v>-67.999999999999972</v>
      </c>
    </row>
    <row r="39" spans="1:22" s="112" customFormat="1" ht="15.75">
      <c r="A39" s="111">
        <v>10</v>
      </c>
      <c r="B39" s="184" t="s">
        <v>283</v>
      </c>
      <c r="C39" s="184"/>
      <c r="D39" s="504">
        <v>1013</v>
      </c>
      <c r="E39" s="190">
        <f>SUM(E40:E43)</f>
        <v>1041</v>
      </c>
      <c r="F39" s="190">
        <f>SUM(F40:F43)</f>
        <v>1030</v>
      </c>
      <c r="G39" s="190">
        <f>SUM(G40:G43)</f>
        <v>1044</v>
      </c>
      <c r="H39" s="190">
        <v>107</v>
      </c>
      <c r="I39" s="573">
        <f t="shared" si="2"/>
        <v>1038.3333333333333</v>
      </c>
      <c r="J39" s="574">
        <f t="shared" si="3"/>
        <v>-1</v>
      </c>
      <c r="K39" s="574">
        <f t="shared" si="0"/>
        <v>1048.3333333333333</v>
      </c>
      <c r="L39" s="574">
        <f t="shared" si="1"/>
        <v>1058.3333333333333</v>
      </c>
      <c r="M39" s="111"/>
      <c r="N39" s="111"/>
      <c r="O39" s="111"/>
      <c r="P39" s="111"/>
      <c r="Q39" s="111"/>
      <c r="R39" s="111"/>
      <c r="S39" s="111"/>
      <c r="T39" s="111"/>
      <c r="U39" s="111"/>
      <c r="V39" s="111"/>
    </row>
    <row r="40" spans="1:22" ht="15.75">
      <c r="A40" s="712">
        <v>28</v>
      </c>
      <c r="B40" s="102"/>
      <c r="C40" s="102" t="s">
        <v>284</v>
      </c>
      <c r="D40" s="186"/>
      <c r="E40" s="104">
        <v>666</v>
      </c>
      <c r="F40" s="104">
        <f>660+5</f>
        <v>665</v>
      </c>
      <c r="G40" s="104">
        <f>671+7</f>
        <v>678</v>
      </c>
      <c r="H40" s="175"/>
      <c r="I40" s="573">
        <f t="shared" si="2"/>
        <v>669.66666666666663</v>
      </c>
      <c r="J40" s="574">
        <f t="shared" si="3"/>
        <v>-4</v>
      </c>
      <c r="K40" s="574">
        <f t="shared" si="0"/>
        <v>709.66666666666663</v>
      </c>
      <c r="L40" s="574">
        <f t="shared" si="1"/>
        <v>749.66666666666663</v>
      </c>
    </row>
    <row r="41" spans="1:22" ht="15.75">
      <c r="A41" s="712">
        <v>29</v>
      </c>
      <c r="B41" s="102"/>
      <c r="C41" s="102" t="s">
        <v>285</v>
      </c>
      <c r="D41" s="186"/>
      <c r="E41" s="104">
        <v>295</v>
      </c>
      <c r="F41" s="104">
        <v>297</v>
      </c>
      <c r="G41" s="104">
        <v>291</v>
      </c>
      <c r="H41" s="104"/>
      <c r="I41" s="573">
        <f t="shared" si="2"/>
        <v>294.33333333333331</v>
      </c>
      <c r="J41" s="574">
        <f t="shared" si="3"/>
        <v>1.3333333333333333</v>
      </c>
      <c r="K41" s="574">
        <f t="shared" si="0"/>
        <v>281</v>
      </c>
      <c r="L41" s="574">
        <f t="shared" si="1"/>
        <v>267.66666666666663</v>
      </c>
    </row>
    <row r="42" spans="1:22" ht="15.75">
      <c r="A42" s="712">
        <v>30</v>
      </c>
      <c r="B42" s="102"/>
      <c r="C42" s="102" t="s">
        <v>286</v>
      </c>
      <c r="D42" s="186"/>
      <c r="E42" s="104">
        <v>78</v>
      </c>
      <c r="F42" s="104">
        <v>66</v>
      </c>
      <c r="G42" s="104">
        <v>73</v>
      </c>
      <c r="H42" s="104"/>
      <c r="I42" s="573">
        <f t="shared" si="2"/>
        <v>72.333333333333329</v>
      </c>
      <c r="J42" s="574">
        <f t="shared" si="3"/>
        <v>1.6666666666666667</v>
      </c>
      <c r="K42" s="574">
        <f t="shared" si="0"/>
        <v>55.666666666666657</v>
      </c>
      <c r="L42" s="574">
        <f t="shared" si="1"/>
        <v>38.999999999999993</v>
      </c>
    </row>
    <row r="43" spans="1:22" ht="18" customHeight="1">
      <c r="A43" s="712">
        <v>31</v>
      </c>
      <c r="B43" s="102"/>
      <c r="C43" s="102" t="s">
        <v>287</v>
      </c>
      <c r="D43" s="186"/>
      <c r="E43" s="104">
        <v>2</v>
      </c>
      <c r="F43" s="104">
        <v>2</v>
      </c>
      <c r="G43" s="104">
        <v>2</v>
      </c>
      <c r="H43" s="104"/>
      <c r="I43" s="573">
        <f t="shared" si="2"/>
        <v>2</v>
      </c>
      <c r="J43" s="574">
        <f t="shared" si="3"/>
        <v>0</v>
      </c>
      <c r="K43" s="574">
        <f t="shared" si="0"/>
        <v>2</v>
      </c>
      <c r="L43" s="574">
        <f t="shared" si="1"/>
        <v>2</v>
      </c>
    </row>
    <row r="44" spans="1:22" ht="15.75">
      <c r="A44" s="106">
        <v>11</v>
      </c>
      <c r="B44" s="184" t="s">
        <v>288</v>
      </c>
      <c r="C44" s="184"/>
      <c r="D44" s="190">
        <v>1075</v>
      </c>
      <c r="E44" s="190">
        <f>E45+E46+E47</f>
        <v>1076</v>
      </c>
      <c r="F44" s="190">
        <f>F45+F46+F47</f>
        <v>1060</v>
      </c>
      <c r="G44" s="190">
        <f>G45+G46+G47</f>
        <v>1050</v>
      </c>
      <c r="H44" s="199">
        <v>169</v>
      </c>
      <c r="I44" s="573">
        <f t="shared" si="2"/>
        <v>1062</v>
      </c>
      <c r="J44" s="574">
        <f t="shared" si="3"/>
        <v>8.6666666666666661</v>
      </c>
      <c r="K44" s="574">
        <f t="shared" si="0"/>
        <v>975.33333333333337</v>
      </c>
      <c r="L44" s="574">
        <f t="shared" si="1"/>
        <v>888.66666666666674</v>
      </c>
    </row>
    <row r="45" spans="1:22" ht="15.75">
      <c r="A45" s="712">
        <v>32</v>
      </c>
      <c r="B45" s="102"/>
      <c r="C45" s="102" t="s">
        <v>289</v>
      </c>
      <c r="D45" s="186"/>
      <c r="E45" s="104">
        <v>824</v>
      </c>
      <c r="F45" s="104">
        <v>814</v>
      </c>
      <c r="G45" s="104">
        <v>808</v>
      </c>
      <c r="H45" s="104"/>
      <c r="I45" s="573">
        <f t="shared" si="2"/>
        <v>815.33333333333337</v>
      </c>
      <c r="J45" s="574">
        <f t="shared" si="3"/>
        <v>5.333333333333333</v>
      </c>
      <c r="K45" s="574">
        <f t="shared" si="0"/>
        <v>762</v>
      </c>
      <c r="L45" s="574">
        <f t="shared" si="1"/>
        <v>708.66666666666674</v>
      </c>
    </row>
    <row r="46" spans="1:22" ht="15.75">
      <c r="A46" s="712">
        <v>33</v>
      </c>
      <c r="B46" s="102"/>
      <c r="C46" s="102" t="s">
        <v>290</v>
      </c>
      <c r="D46" s="186"/>
      <c r="E46" s="104">
        <v>64</v>
      </c>
      <c r="F46" s="104">
        <v>59</v>
      </c>
      <c r="G46" s="104">
        <v>59</v>
      </c>
      <c r="H46" s="104"/>
      <c r="I46" s="573">
        <f t="shared" si="2"/>
        <v>60.666666666666664</v>
      </c>
      <c r="J46" s="574">
        <f t="shared" si="3"/>
        <v>1.6666666666666667</v>
      </c>
      <c r="K46" s="574">
        <f t="shared" si="0"/>
        <v>44</v>
      </c>
      <c r="L46" s="574">
        <f t="shared" si="1"/>
        <v>27.333333333333329</v>
      </c>
    </row>
    <row r="47" spans="1:22" ht="15.75">
      <c r="A47" s="712">
        <v>34</v>
      </c>
      <c r="B47" s="176"/>
      <c r="C47" s="102" t="s">
        <v>291</v>
      </c>
      <c r="D47" s="186"/>
      <c r="E47" s="104">
        <v>188</v>
      </c>
      <c r="F47" s="104">
        <v>187</v>
      </c>
      <c r="G47" s="104">
        <v>183</v>
      </c>
      <c r="H47" s="105"/>
      <c r="I47" s="573">
        <f t="shared" si="2"/>
        <v>186</v>
      </c>
      <c r="J47" s="574">
        <f t="shared" si="3"/>
        <v>1.6666666666666667</v>
      </c>
      <c r="K47" s="574">
        <f t="shared" si="0"/>
        <v>169.33333333333334</v>
      </c>
      <c r="L47" s="574">
        <f t="shared" si="1"/>
        <v>152.66666666666666</v>
      </c>
    </row>
    <row r="48" spans="1:22" ht="15.75">
      <c r="A48" s="106">
        <v>12</v>
      </c>
      <c r="B48" s="184" t="s">
        <v>292</v>
      </c>
      <c r="C48" s="184"/>
      <c r="D48" s="184">
        <v>1154</v>
      </c>
      <c r="E48" s="190">
        <f>SUM(E49:E52)</f>
        <v>1169</v>
      </c>
      <c r="F48" s="190">
        <f>SUM(F49:F52)</f>
        <v>1184</v>
      </c>
      <c r="G48" s="190">
        <f>SUM(G49:G52)</f>
        <v>1178</v>
      </c>
      <c r="H48" s="190">
        <v>132</v>
      </c>
      <c r="I48" s="573">
        <f t="shared" si="2"/>
        <v>1177</v>
      </c>
      <c r="J48" s="574">
        <f t="shared" si="3"/>
        <v>-3</v>
      </c>
      <c r="K48" s="574">
        <f t="shared" si="0"/>
        <v>1207</v>
      </c>
      <c r="L48" s="574">
        <f t="shared" si="1"/>
        <v>1237</v>
      </c>
    </row>
    <row r="49" spans="1:22" s="112" customFormat="1" ht="15.75">
      <c r="A49" s="712">
        <v>35</v>
      </c>
      <c r="B49" s="102"/>
      <c r="C49" s="102" t="s">
        <v>293</v>
      </c>
      <c r="D49" s="186"/>
      <c r="E49" s="104">
        <v>507</v>
      </c>
      <c r="F49" s="104">
        <v>526</v>
      </c>
      <c r="G49" s="104">
        <v>526</v>
      </c>
      <c r="H49" s="104"/>
      <c r="I49" s="573">
        <f t="shared" si="2"/>
        <v>519.66666666666663</v>
      </c>
      <c r="J49" s="574">
        <f t="shared" si="3"/>
        <v>-6.333333333333333</v>
      </c>
      <c r="K49" s="574">
        <f t="shared" si="0"/>
        <v>583</v>
      </c>
      <c r="L49" s="574">
        <f t="shared" si="1"/>
        <v>646.33333333333326</v>
      </c>
      <c r="M49" s="111"/>
      <c r="N49" s="111"/>
      <c r="O49" s="111"/>
      <c r="P49" s="111"/>
      <c r="Q49" s="111"/>
      <c r="R49" s="111"/>
      <c r="S49" s="111"/>
      <c r="T49" s="111"/>
      <c r="U49" s="111"/>
      <c r="V49" s="111"/>
    </row>
    <row r="50" spans="1:22" ht="31.5">
      <c r="A50" s="712">
        <v>36</v>
      </c>
      <c r="B50" s="102"/>
      <c r="C50" s="102" t="s">
        <v>294</v>
      </c>
      <c r="D50" s="186"/>
      <c r="E50" s="104">
        <v>38</v>
      </c>
      <c r="F50" s="104">
        <v>42</v>
      </c>
      <c r="G50" s="104">
        <v>44</v>
      </c>
      <c r="H50" s="187"/>
      <c r="I50" s="573">
        <f t="shared" si="2"/>
        <v>41.333333333333336</v>
      </c>
      <c r="J50" s="574">
        <f t="shared" si="3"/>
        <v>-2</v>
      </c>
      <c r="K50" s="574">
        <f t="shared" si="0"/>
        <v>61.333333333333336</v>
      </c>
      <c r="L50" s="574">
        <f t="shared" si="1"/>
        <v>81.333333333333343</v>
      </c>
    </row>
    <row r="51" spans="1:22" ht="15.75">
      <c r="A51" s="712">
        <v>37</v>
      </c>
      <c r="B51" s="102"/>
      <c r="C51" s="102" t="s">
        <v>295</v>
      </c>
      <c r="D51" s="186"/>
      <c r="E51" s="104">
        <v>340</v>
      </c>
      <c r="F51" s="104">
        <v>338</v>
      </c>
      <c r="G51" s="104">
        <v>331</v>
      </c>
      <c r="H51" s="104"/>
      <c r="I51" s="573">
        <f t="shared" si="2"/>
        <v>336.33333333333331</v>
      </c>
      <c r="J51" s="574">
        <f t="shared" si="3"/>
        <v>3</v>
      </c>
      <c r="K51" s="574">
        <f t="shared" si="0"/>
        <v>306.33333333333331</v>
      </c>
      <c r="L51" s="574">
        <f t="shared" si="1"/>
        <v>276.33333333333331</v>
      </c>
    </row>
    <row r="52" spans="1:22" ht="15.75">
      <c r="A52" s="712">
        <v>38</v>
      </c>
      <c r="B52" s="209"/>
      <c r="C52" s="102" t="s">
        <v>296</v>
      </c>
      <c r="D52" s="186"/>
      <c r="E52" s="104">
        <v>284</v>
      </c>
      <c r="F52" s="104">
        <v>278</v>
      </c>
      <c r="G52" s="104">
        <v>277</v>
      </c>
      <c r="H52" s="104"/>
      <c r="I52" s="573">
        <f t="shared" si="2"/>
        <v>279.66666666666669</v>
      </c>
      <c r="J52" s="574">
        <f t="shared" si="3"/>
        <v>2.3333333333333335</v>
      </c>
      <c r="K52" s="574">
        <f t="shared" si="0"/>
        <v>256.33333333333337</v>
      </c>
      <c r="L52" s="574">
        <f t="shared" si="1"/>
        <v>233</v>
      </c>
    </row>
    <row r="53" spans="1:22" ht="15.75">
      <c r="B53" s="126" t="s">
        <v>227</v>
      </c>
      <c r="C53" s="127"/>
      <c r="D53" s="519">
        <f>D3+D5+D10+D13+D17+D20+D23+D27+D33+D39+D44+D48</f>
        <v>19485</v>
      </c>
      <c r="E53" s="519">
        <f>E3+E5+E10+E13+E17+E20+E23+E27+E33+E39+E44+E48</f>
        <v>19480</v>
      </c>
      <c r="F53" s="519">
        <f>F3+F5+F10+F13+F17+F20+F23+F27+F33+F39+F44+F48</f>
        <v>18947</v>
      </c>
      <c r="G53" s="519">
        <f>G3+G5+G10+G13+G17+G20+G23+G27+G33+G39+G44+G48</f>
        <v>18951</v>
      </c>
      <c r="H53" s="519">
        <f>H3+H5+H10+H13+H17+H20+H23+H27+H33+H39+H44+H48</f>
        <v>1237</v>
      </c>
      <c r="I53" s="573">
        <f t="shared" si="2"/>
        <v>19126</v>
      </c>
      <c r="J53" s="574">
        <f t="shared" si="3"/>
        <v>176.33333333333334</v>
      </c>
      <c r="K53" s="574">
        <f t="shared" si="0"/>
        <v>17362.666666666668</v>
      </c>
      <c r="L53" s="574">
        <f t="shared" si="1"/>
        <v>15599.333333333332</v>
      </c>
    </row>
    <row r="55" spans="1:22">
      <c r="E55" s="711">
        <f>D53-E53</f>
        <v>5</v>
      </c>
      <c r="F55" s="711">
        <f t="shared" ref="F55:G55" si="4">E53-F53</f>
        <v>533</v>
      </c>
      <c r="G55" s="711">
        <f t="shared" si="4"/>
        <v>-4</v>
      </c>
    </row>
    <row r="60" spans="1:22" ht="31.5">
      <c r="B60" s="803" t="s">
        <v>569</v>
      </c>
      <c r="C60" s="1169">
        <v>765</v>
      </c>
      <c r="D60" s="1169"/>
      <c r="E60" s="1165">
        <f>ROUND(C60*$E$73/$C$73,2)</f>
        <v>18.14</v>
      </c>
      <c r="F60" s="1165"/>
    </row>
    <row r="61" spans="1:22" ht="15.75">
      <c r="B61" s="803" t="s">
        <v>570</v>
      </c>
      <c r="C61" s="1164">
        <v>16</v>
      </c>
      <c r="D61" s="1164"/>
      <c r="E61" s="1165">
        <f t="shared" ref="E61:E64" si="5">ROUND(C61*$E$73/$C$73,2)</f>
        <v>0.38</v>
      </c>
      <c r="F61" s="1165"/>
    </row>
    <row r="62" spans="1:22" ht="31.5">
      <c r="B62" s="803" t="s">
        <v>571</v>
      </c>
      <c r="C62" s="1164">
        <v>288</v>
      </c>
      <c r="D62" s="1164"/>
      <c r="E62" s="1165">
        <f t="shared" si="5"/>
        <v>6.83</v>
      </c>
      <c r="F62" s="1165"/>
    </row>
    <row r="63" spans="1:22" ht="15.75">
      <c r="B63" s="803" t="s">
        <v>182</v>
      </c>
      <c r="C63" s="1164">
        <v>171</v>
      </c>
      <c r="D63" s="1164"/>
      <c r="E63" s="1165">
        <f t="shared" si="5"/>
        <v>4.0599999999999996</v>
      </c>
      <c r="F63" s="1165"/>
    </row>
    <row r="64" spans="1:22" ht="63">
      <c r="B64" s="803" t="s">
        <v>572</v>
      </c>
      <c r="C64" s="1164">
        <v>450</v>
      </c>
      <c r="D64" s="1164"/>
      <c r="E64" s="1165">
        <f t="shared" si="5"/>
        <v>10.67</v>
      </c>
      <c r="F64" s="1165"/>
    </row>
    <row r="65" spans="2:7" ht="15.75">
      <c r="B65" s="803" t="s">
        <v>573</v>
      </c>
      <c r="C65" s="1164">
        <v>1</v>
      </c>
      <c r="D65" s="1164"/>
      <c r="E65" s="1167">
        <v>0.02</v>
      </c>
      <c r="F65" s="1167"/>
    </row>
    <row r="66" spans="2:7" ht="15.75">
      <c r="B66" s="803" t="s">
        <v>574</v>
      </c>
      <c r="C66" s="1164">
        <v>171</v>
      </c>
      <c r="D66" s="1164"/>
      <c r="E66" s="1165">
        <f>ROUND(C66*$E$73/$C$73,2)</f>
        <v>4.0599999999999996</v>
      </c>
      <c r="F66" s="1165"/>
    </row>
    <row r="67" spans="2:7" ht="15.75">
      <c r="B67" s="803" t="s">
        <v>575</v>
      </c>
      <c r="C67" s="1164">
        <v>36</v>
      </c>
      <c r="D67" s="1164"/>
      <c r="E67" s="1165">
        <f t="shared" ref="E67:E72" si="6">ROUND(C67*$E$73/$C$73,2)</f>
        <v>0.85</v>
      </c>
      <c r="F67" s="1165"/>
    </row>
    <row r="68" spans="2:7" ht="47.25">
      <c r="B68" s="803" t="s">
        <v>576</v>
      </c>
      <c r="C68" s="1164">
        <v>103</v>
      </c>
      <c r="D68" s="1164"/>
      <c r="E68" s="1165">
        <f t="shared" si="6"/>
        <v>2.44</v>
      </c>
      <c r="F68" s="1165"/>
    </row>
    <row r="69" spans="2:7" ht="63">
      <c r="B69" s="803" t="s">
        <v>577</v>
      </c>
      <c r="C69" s="1164">
        <v>586</v>
      </c>
      <c r="D69" s="1164"/>
      <c r="E69" s="1165">
        <f t="shared" si="6"/>
        <v>13.9</v>
      </c>
      <c r="F69" s="1165"/>
    </row>
    <row r="70" spans="2:7" ht="15.75">
      <c r="B70" s="803" t="s">
        <v>578</v>
      </c>
      <c r="C70" s="1164">
        <v>725</v>
      </c>
      <c r="D70" s="1164"/>
      <c r="E70" s="1165">
        <f t="shared" si="6"/>
        <v>17.190000000000001</v>
      </c>
      <c r="F70" s="1165"/>
    </row>
    <row r="71" spans="2:7" ht="31.5">
      <c r="B71" s="803" t="s">
        <v>579</v>
      </c>
      <c r="C71" s="1164">
        <v>697</v>
      </c>
      <c r="D71" s="1164"/>
      <c r="E71" s="1165">
        <f t="shared" si="6"/>
        <v>16.53</v>
      </c>
      <c r="F71" s="1165"/>
    </row>
    <row r="72" spans="2:7" ht="47.25">
      <c r="B72" s="803" t="s">
        <v>580</v>
      </c>
      <c r="C72" s="1164">
        <v>208</v>
      </c>
      <c r="D72" s="1164"/>
      <c r="E72" s="1165">
        <f t="shared" si="6"/>
        <v>4.93</v>
      </c>
      <c r="F72" s="1165"/>
    </row>
    <row r="73" spans="2:7" ht="15.75">
      <c r="B73" s="804" t="s">
        <v>78</v>
      </c>
      <c r="C73" s="1166">
        <f>SUM(C60:D72)</f>
        <v>4217</v>
      </c>
      <c r="D73" s="1166"/>
      <c r="E73" s="1164">
        <v>100</v>
      </c>
      <c r="F73" s="1164"/>
      <c r="G73" s="1003">
        <f>SUM(E60:F72)</f>
        <v>100</v>
      </c>
    </row>
    <row r="76" spans="2:7" ht="31.5" customHeight="1">
      <c r="B76" s="804" t="s">
        <v>581</v>
      </c>
      <c r="C76" s="1164" t="s">
        <v>582</v>
      </c>
      <c r="D76" s="1164"/>
    </row>
    <row r="77" spans="2:7" ht="31.5">
      <c r="B77" s="803" t="s">
        <v>569</v>
      </c>
      <c r="C77" s="1164">
        <v>11343.7</v>
      </c>
      <c r="D77" s="1164"/>
    </row>
    <row r="78" spans="2:7" ht="15.75">
      <c r="B78" s="803" t="s">
        <v>570</v>
      </c>
      <c r="C78" s="1164">
        <v>11306.8</v>
      </c>
      <c r="D78" s="1164"/>
    </row>
    <row r="79" spans="2:7" ht="31.5">
      <c r="B79" s="803" t="s">
        <v>571</v>
      </c>
      <c r="C79" s="1164">
        <v>14814.9</v>
      </c>
      <c r="D79" s="1164"/>
    </row>
    <row r="80" spans="2:7" ht="15.75">
      <c r="B80" s="803" t="s">
        <v>182</v>
      </c>
      <c r="C80" s="1164">
        <v>21287</v>
      </c>
      <c r="D80" s="1164"/>
    </row>
    <row r="81" spans="2:4" ht="63">
      <c r="B81" s="803" t="s">
        <v>572</v>
      </c>
      <c r="C81" s="1164">
        <v>11641.3</v>
      </c>
      <c r="D81" s="1164"/>
    </row>
    <row r="82" spans="2:4" ht="15.75">
      <c r="B82" s="803" t="s">
        <v>573</v>
      </c>
      <c r="C82" s="1164">
        <v>12433.3</v>
      </c>
      <c r="D82" s="1164"/>
    </row>
    <row r="83" spans="2:4" ht="15.75">
      <c r="B83" s="803" t="s">
        <v>574</v>
      </c>
      <c r="C83" s="1164">
        <v>15578.4</v>
      </c>
      <c r="D83" s="1164"/>
    </row>
    <row r="84" spans="2:4" ht="15.75">
      <c r="B84" s="803" t="s">
        <v>575</v>
      </c>
      <c r="C84" s="1164">
        <v>21403.9</v>
      </c>
      <c r="D84" s="1164"/>
    </row>
    <row r="85" spans="2:4" ht="47.25">
      <c r="B85" s="803" t="s">
        <v>576</v>
      </c>
      <c r="C85" s="1164">
        <v>17711.400000000001</v>
      </c>
      <c r="D85" s="1164"/>
    </row>
    <row r="86" spans="2:4" ht="63">
      <c r="B86" s="803" t="s">
        <v>577</v>
      </c>
      <c r="C86" s="1164">
        <v>23604.1</v>
      </c>
      <c r="D86" s="1164"/>
    </row>
    <row r="87" spans="2:4" ht="15.75">
      <c r="B87" s="803" t="s">
        <v>578</v>
      </c>
      <c r="C87" s="1164">
        <v>11038.4</v>
      </c>
      <c r="D87" s="1164"/>
    </row>
    <row r="88" spans="2:4" ht="31.5">
      <c r="B88" s="803" t="s">
        <v>579</v>
      </c>
      <c r="C88" s="1164">
        <v>10367.6</v>
      </c>
      <c r="D88" s="1164"/>
    </row>
    <row r="89" spans="2:4" ht="47.25">
      <c r="B89" s="803" t="s">
        <v>580</v>
      </c>
      <c r="C89" s="1164">
        <v>6127.5</v>
      </c>
      <c r="D89" s="1164"/>
    </row>
    <row r="90" spans="2:4" ht="15.75">
      <c r="B90" s="804" t="s">
        <v>583</v>
      </c>
      <c r="C90" s="1162">
        <f>(SUM(C77:D89))/13</f>
        <v>14512.176923076922</v>
      </c>
      <c r="D90" s="1163"/>
    </row>
    <row r="91" spans="2:4">
      <c r="D91" s="106"/>
    </row>
  </sheetData>
  <mergeCells count="44">
    <mergeCell ref="D1:H1"/>
    <mergeCell ref="C60:D60"/>
    <mergeCell ref="E60:F60"/>
    <mergeCell ref="C61:D61"/>
    <mergeCell ref="E61:F61"/>
    <mergeCell ref="C62:D62"/>
    <mergeCell ref="E62:F62"/>
    <mergeCell ref="C63:D63"/>
    <mergeCell ref="E63:F63"/>
    <mergeCell ref="C64:D64"/>
    <mergeCell ref="E64:F64"/>
    <mergeCell ref="C65:D65"/>
    <mergeCell ref="E65:F65"/>
    <mergeCell ref="C66:D66"/>
    <mergeCell ref="E66:F66"/>
    <mergeCell ref="C67:D67"/>
    <mergeCell ref="E67:F67"/>
    <mergeCell ref="C68:D68"/>
    <mergeCell ref="E68:F68"/>
    <mergeCell ref="C69:D69"/>
    <mergeCell ref="E69:F69"/>
    <mergeCell ref="C70:D70"/>
    <mergeCell ref="E70:F70"/>
    <mergeCell ref="C71:D71"/>
    <mergeCell ref="E71:F71"/>
    <mergeCell ref="C72:D72"/>
    <mergeCell ref="E72:F72"/>
    <mergeCell ref="C73:D73"/>
    <mergeCell ref="E73:F73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90:D90"/>
    <mergeCell ref="C86:D86"/>
    <mergeCell ref="C87:D87"/>
    <mergeCell ref="C88:D88"/>
    <mergeCell ref="C89:D89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M94"/>
  <sheetViews>
    <sheetView workbookViewId="0">
      <selection activeCell="A2" sqref="A2:R52"/>
    </sheetView>
  </sheetViews>
  <sheetFormatPr defaultRowHeight="15"/>
  <cols>
    <col min="1" max="1" width="25.140625" style="5" customWidth="1"/>
    <col min="2" max="2" width="8.85546875" style="70" customWidth="1"/>
    <col min="3" max="3" width="10" style="70" customWidth="1"/>
    <col min="4" max="4" width="10.5703125" style="74" hidden="1" customWidth="1"/>
    <col min="5" max="5" width="1.85546875" style="75" hidden="1" customWidth="1"/>
    <col min="6" max="6" width="10" style="74" hidden="1" customWidth="1"/>
    <col min="7" max="7" width="12.28515625" style="74" hidden="1" customWidth="1"/>
    <col min="8" max="8" width="9.42578125" style="74" hidden="1" customWidth="1"/>
    <col min="9" max="9" width="12.5703125" style="74" hidden="1" customWidth="1"/>
    <col min="10" max="10" width="13.42578125" style="74" hidden="1" customWidth="1"/>
    <col min="11" max="11" width="9.7109375" style="74" hidden="1" customWidth="1"/>
    <col min="12" max="12" width="2" style="78" hidden="1" customWidth="1"/>
    <col min="13" max="13" width="10.42578125" style="5" customWidth="1"/>
    <col min="14" max="14" width="10.85546875" style="74" customWidth="1"/>
    <col min="15" max="15" width="9.42578125" style="77" customWidth="1"/>
    <col min="16" max="16" width="10.42578125" style="5" customWidth="1"/>
    <col min="17" max="17" width="14.140625" style="5" customWidth="1"/>
    <col min="18" max="18" width="9.140625" style="5" customWidth="1"/>
    <col min="19" max="16384" width="9.140625" style="5"/>
  </cols>
  <sheetData>
    <row r="1" spans="1:39" s="22" customFormat="1" ht="54" customHeight="1">
      <c r="A1" s="1085" t="s">
        <v>2</v>
      </c>
      <c r="B1" s="1085" t="s">
        <v>47</v>
      </c>
      <c r="C1" s="1085" t="s">
        <v>867</v>
      </c>
      <c r="D1" s="1085" t="s">
        <v>871</v>
      </c>
      <c r="E1" s="1086"/>
      <c r="F1" s="1087" t="s">
        <v>873</v>
      </c>
      <c r="G1" s="1085" t="s">
        <v>870</v>
      </c>
      <c r="H1" s="1085" t="s">
        <v>877</v>
      </c>
      <c r="I1" s="1087" t="s">
        <v>868</v>
      </c>
      <c r="J1" s="1085" t="s">
        <v>95</v>
      </c>
      <c r="K1" s="1085" t="s">
        <v>884</v>
      </c>
      <c r="L1" s="1088"/>
      <c r="M1" s="1087" t="s">
        <v>96</v>
      </c>
      <c r="N1" s="1085" t="s">
        <v>872</v>
      </c>
      <c r="O1" s="1085" t="s">
        <v>876</v>
      </c>
      <c r="P1" s="1087" t="s">
        <v>869</v>
      </c>
      <c r="Q1" s="1087" t="s">
        <v>875</v>
      </c>
      <c r="R1" s="1085" t="s">
        <v>884</v>
      </c>
    </row>
    <row r="2" spans="1:39" s="25" customFormat="1" ht="15" customHeight="1">
      <c r="A2" s="1078" t="s">
        <v>865</v>
      </c>
      <c r="B2" s="1068">
        <f t="shared" ref="B2" si="0">B3</f>
        <v>7885</v>
      </c>
      <c r="C2" s="1070">
        <f t="shared" ref="C2" si="1">C3</f>
        <v>159</v>
      </c>
      <c r="D2" s="1074">
        <f>D3</f>
        <v>20.2</v>
      </c>
      <c r="E2" s="1058"/>
      <c r="F2" s="1059">
        <f t="shared" ref="F2:I2" si="2">F3</f>
        <v>23850</v>
      </c>
      <c r="G2" s="1059">
        <f t="shared" si="2"/>
        <v>135150</v>
      </c>
      <c r="H2" s="1059">
        <f t="shared" si="2"/>
        <v>7558.333333333333</v>
      </c>
      <c r="I2" s="1059">
        <f t="shared" si="2"/>
        <v>158725</v>
      </c>
      <c r="J2" s="1059">
        <f>J3</f>
        <v>23575</v>
      </c>
      <c r="K2" s="1059">
        <f>K3</f>
        <v>0</v>
      </c>
      <c r="L2" s="1097"/>
      <c r="M2" s="1059">
        <f t="shared" ref="M2:Q2" si="3">M3</f>
        <v>47700</v>
      </c>
      <c r="N2" s="1059">
        <f t="shared" si="3"/>
        <v>111300</v>
      </c>
      <c r="O2" s="1059">
        <f t="shared" si="3"/>
        <v>7231.666666666667</v>
      </c>
      <c r="P2" s="1059">
        <f t="shared" si="3"/>
        <v>173560</v>
      </c>
      <c r="Q2" s="1059">
        <f t="shared" si="3"/>
        <v>62260</v>
      </c>
      <c r="R2" s="1059">
        <f>R3</f>
        <v>0</v>
      </c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</row>
    <row r="3" spans="1:39" ht="15.75">
      <c r="A3" s="1079" t="s">
        <v>302</v>
      </c>
      <c r="B3" s="1065">
        <f>Численность!G4</f>
        <v>7885</v>
      </c>
      <c r="C3" s="1071">
        <f>Жилфонд!G6</f>
        <v>159</v>
      </c>
      <c r="D3" s="1075">
        <f>ROUND(C3*1000/B3,1)</f>
        <v>20.2</v>
      </c>
      <c r="E3" s="1057"/>
      <c r="F3" s="1060">
        <f>ROUND(M3/2,0)</f>
        <v>23850</v>
      </c>
      <c r="G3" s="1060">
        <f>C3*1000-F3</f>
        <v>135150</v>
      </c>
      <c r="H3" s="1061">
        <f>'проект числ-сть'!L5</f>
        <v>7558.333333333333</v>
      </c>
      <c r="I3" s="1060">
        <f t="shared" ref="I3:I50" si="4">H3*21</f>
        <v>158725</v>
      </c>
      <c r="J3" s="1060">
        <f>IF(I3&gt;G3,I3-G3,0)</f>
        <v>23575</v>
      </c>
      <c r="K3" s="1060">
        <f>IF(G3-I3&gt;0,G3-I3,0)</f>
        <v>0</v>
      </c>
      <c r="L3" s="1097"/>
      <c r="M3" s="1069">
        <f>ROUND(C3*1000*0.3,0)</f>
        <v>47700</v>
      </c>
      <c r="N3" s="1065">
        <f>C3*1000-M3</f>
        <v>111300</v>
      </c>
      <c r="O3" s="1065">
        <f>'проект числ-сть'!M5</f>
        <v>7231.666666666667</v>
      </c>
      <c r="P3" s="1069">
        <f t="shared" ref="P3:P51" si="5">O3*24</f>
        <v>173560</v>
      </c>
      <c r="Q3" s="1069">
        <f>IF(P3&gt;N3,P3-N3,0)</f>
        <v>62260</v>
      </c>
      <c r="R3" s="1060">
        <f>IF(N3-P3&gt;0,N3-P3,0)</f>
        <v>0</v>
      </c>
    </row>
    <row r="4" spans="1:39" s="152" customFormat="1" ht="15.75">
      <c r="A4" s="1080" t="s">
        <v>866</v>
      </c>
      <c r="B4" s="1066">
        <f>SUM(B5:B8)</f>
        <v>1736</v>
      </c>
      <c r="C4" s="1072">
        <f>SUM(C5:C8)</f>
        <v>24.200000000000003</v>
      </c>
      <c r="D4" s="1076">
        <f t="shared" ref="D4:D51" si="6">ROUND(C4*1000/B4,1)</f>
        <v>13.9</v>
      </c>
      <c r="E4" s="1058"/>
      <c r="F4" s="1062">
        <f t="shared" ref="F4:G4" si="7">SUM(F5:F8)</f>
        <v>834</v>
      </c>
      <c r="G4" s="1062">
        <f t="shared" si="7"/>
        <v>23366</v>
      </c>
      <c r="H4" s="1062">
        <f>SUM(H5:H8)</f>
        <v>1274</v>
      </c>
      <c r="I4" s="1062">
        <f>SUM(I5:I8)</f>
        <v>26754</v>
      </c>
      <c r="J4" s="1062">
        <f>SUM(J5:J8)</f>
        <v>3607</v>
      </c>
      <c r="K4" s="1062">
        <f>SUM(K5:K8)</f>
        <v>219</v>
      </c>
      <c r="L4" s="1097"/>
      <c r="M4" s="1062">
        <f t="shared" ref="M4:Q4" si="8">SUM(M5:M8)</f>
        <v>7260</v>
      </c>
      <c r="N4" s="1062">
        <f t="shared" si="8"/>
        <v>16940</v>
      </c>
      <c r="O4" s="1062">
        <f t="shared" si="8"/>
        <v>824</v>
      </c>
      <c r="P4" s="1062">
        <f t="shared" si="8"/>
        <v>19776</v>
      </c>
      <c r="Q4" s="1062">
        <f t="shared" si="8"/>
        <v>3607</v>
      </c>
      <c r="R4" s="1062">
        <f>SUM(R5:R8)</f>
        <v>771</v>
      </c>
    </row>
    <row r="5" spans="1:39" s="25" customFormat="1" ht="15.75">
      <c r="A5" s="1081" t="s">
        <v>299</v>
      </c>
      <c r="B5" s="1065">
        <f>Численность!G6</f>
        <v>1583</v>
      </c>
      <c r="C5" s="1071">
        <f>Жилфонд!G8</f>
        <v>22.1</v>
      </c>
      <c r="D5" s="1075">
        <f t="shared" si="6"/>
        <v>14</v>
      </c>
      <c r="E5" s="1057"/>
      <c r="F5" s="1060">
        <v>708</v>
      </c>
      <c r="G5" s="1060">
        <f t="shared" ref="G5:G51" si="9">C5*1000-F5</f>
        <v>21392</v>
      </c>
      <c r="H5" s="1061">
        <f>'проект числ-сть'!L7</f>
        <v>1186</v>
      </c>
      <c r="I5" s="1060">
        <f t="shared" si="4"/>
        <v>24906</v>
      </c>
      <c r="J5" s="1060">
        <f t="shared" ref="J5:J51" si="10">IF(I5&gt;G5,I5-G5,0)</f>
        <v>3514</v>
      </c>
      <c r="K5" s="1060">
        <f>IF(G5-I5&gt;0,G5-I5,0)</f>
        <v>0</v>
      </c>
      <c r="L5" s="1097"/>
      <c r="M5" s="1069">
        <f t="shared" ref="M5:M51" si="11">ROUND(C5*1000*0.3,0)</f>
        <v>6630</v>
      </c>
      <c r="N5" s="1065">
        <f>C5*1000-M5</f>
        <v>15470</v>
      </c>
      <c r="O5" s="1065">
        <f>'проект числ-сть'!M7</f>
        <v>791</v>
      </c>
      <c r="P5" s="1069">
        <f t="shared" si="5"/>
        <v>18984</v>
      </c>
      <c r="Q5" s="1069">
        <f t="shared" ref="Q5:Q51" si="12">IF(P5&gt;N5,P5-N5,0)</f>
        <v>3514</v>
      </c>
      <c r="R5" s="1060">
        <f t="shared" ref="R5:R51" si="13">IF(N5-P5&gt;0,N5-P5,0)</f>
        <v>0</v>
      </c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</row>
    <row r="6" spans="1:39" ht="15.75">
      <c r="A6" s="1081" t="s">
        <v>225</v>
      </c>
      <c r="B6" s="1065">
        <f>Численность!G7</f>
        <v>21</v>
      </c>
      <c r="C6" s="1071">
        <f>Жилфонд!G9</f>
        <v>0.53</v>
      </c>
      <c r="D6" s="1075">
        <f t="shared" si="6"/>
        <v>25.2</v>
      </c>
      <c r="E6" s="1057"/>
      <c r="F6" s="1060">
        <f t="shared" ref="F6" si="14">ROUND(M6/2,0)</f>
        <v>80</v>
      </c>
      <c r="G6" s="1060">
        <f t="shared" si="9"/>
        <v>450</v>
      </c>
      <c r="H6" s="1061">
        <f>'проект числ-сть'!L8</f>
        <v>11</v>
      </c>
      <c r="I6" s="1060">
        <f t="shared" si="4"/>
        <v>231</v>
      </c>
      <c r="J6" s="1060">
        <f t="shared" si="10"/>
        <v>0</v>
      </c>
      <c r="K6" s="1060">
        <f t="shared" ref="K6:K51" si="15">IF(G6-I6&gt;0,G6-I6,0)</f>
        <v>219</v>
      </c>
      <c r="L6" s="1097"/>
      <c r="M6" s="1069">
        <f t="shared" si="11"/>
        <v>159</v>
      </c>
      <c r="N6" s="1065">
        <f>C6*1000-M6</f>
        <v>371</v>
      </c>
      <c r="O6" s="1065">
        <f>'проект числ-сть'!M8</f>
        <v>0</v>
      </c>
      <c r="P6" s="1069">
        <f t="shared" si="5"/>
        <v>0</v>
      </c>
      <c r="Q6" s="1069">
        <f t="shared" si="12"/>
        <v>0</v>
      </c>
      <c r="R6" s="1060">
        <f t="shared" si="13"/>
        <v>371</v>
      </c>
    </row>
    <row r="7" spans="1:39" ht="15.75">
      <c r="A7" s="1081" t="s">
        <v>301</v>
      </c>
      <c r="B7" s="1065">
        <f>Численность!G8</f>
        <v>59</v>
      </c>
      <c r="C7" s="1071">
        <f>Жилфонд!G10</f>
        <v>0.6</v>
      </c>
      <c r="D7" s="1075">
        <f t="shared" si="6"/>
        <v>10.199999999999999</v>
      </c>
      <c r="E7" s="1057"/>
      <c r="F7" s="1060">
        <v>0</v>
      </c>
      <c r="G7" s="1060">
        <f t="shared" si="9"/>
        <v>600</v>
      </c>
      <c r="H7" s="1061">
        <f>'проект числ-сть'!L9</f>
        <v>33</v>
      </c>
      <c r="I7" s="1060">
        <f t="shared" si="4"/>
        <v>693</v>
      </c>
      <c r="J7" s="1098">
        <f t="shared" si="10"/>
        <v>93</v>
      </c>
      <c r="K7" s="1060">
        <f t="shared" si="15"/>
        <v>0</v>
      </c>
      <c r="L7" s="1097"/>
      <c r="M7" s="1069">
        <f t="shared" si="11"/>
        <v>180</v>
      </c>
      <c r="N7" s="1065">
        <f>C7*1000-M7</f>
        <v>420</v>
      </c>
      <c r="O7" s="1065">
        <f>'проект числ-сть'!M9</f>
        <v>14</v>
      </c>
      <c r="P7" s="1069">
        <f t="shared" si="5"/>
        <v>336</v>
      </c>
      <c r="Q7" s="1069">
        <v>93</v>
      </c>
      <c r="R7" s="1060">
        <v>177</v>
      </c>
      <c r="S7" s="16">
        <f>R7+J7</f>
        <v>270</v>
      </c>
    </row>
    <row r="8" spans="1:39" ht="15.75">
      <c r="A8" s="1081" t="s">
        <v>300</v>
      </c>
      <c r="B8" s="1065">
        <f>Численность!G9</f>
        <v>73</v>
      </c>
      <c r="C8" s="1071">
        <f>Жилфонд!G11</f>
        <v>0.97</v>
      </c>
      <c r="D8" s="1075">
        <f t="shared" si="6"/>
        <v>13.3</v>
      </c>
      <c r="E8" s="1057"/>
      <c r="F8" s="1060">
        <v>46</v>
      </c>
      <c r="G8" s="1060">
        <f t="shared" si="9"/>
        <v>924</v>
      </c>
      <c r="H8" s="1061">
        <f>'проект числ-сть'!L10</f>
        <v>44</v>
      </c>
      <c r="I8" s="1060">
        <f t="shared" si="4"/>
        <v>924</v>
      </c>
      <c r="J8" s="1060">
        <f t="shared" si="10"/>
        <v>0</v>
      </c>
      <c r="K8" s="1060">
        <f t="shared" si="15"/>
        <v>0</v>
      </c>
      <c r="L8" s="1097"/>
      <c r="M8" s="1069">
        <f t="shared" si="11"/>
        <v>291</v>
      </c>
      <c r="N8" s="1065">
        <f>C8*1000-M8</f>
        <v>679</v>
      </c>
      <c r="O8" s="1065">
        <f>'проект числ-сть'!M10</f>
        <v>19</v>
      </c>
      <c r="P8" s="1069">
        <f t="shared" si="5"/>
        <v>456</v>
      </c>
      <c r="Q8" s="1069">
        <f t="shared" si="12"/>
        <v>0</v>
      </c>
      <c r="R8" s="1060">
        <f t="shared" si="13"/>
        <v>223</v>
      </c>
    </row>
    <row r="9" spans="1:39" s="152" customFormat="1" ht="15.75">
      <c r="A9" s="1082" t="s">
        <v>254</v>
      </c>
      <c r="B9" s="1066">
        <f>B10+B11</f>
        <v>525</v>
      </c>
      <c r="C9" s="1072">
        <f>C10+C11</f>
        <v>10.932</v>
      </c>
      <c r="D9" s="1076">
        <f t="shared" si="6"/>
        <v>20.8</v>
      </c>
      <c r="E9" s="1058"/>
      <c r="F9" s="1062">
        <f t="shared" ref="F9:G9" si="16">F10+F11</f>
        <v>1052</v>
      </c>
      <c r="G9" s="1062">
        <f t="shared" si="16"/>
        <v>9880</v>
      </c>
      <c r="H9" s="1062">
        <f>H10+H11</f>
        <v>430</v>
      </c>
      <c r="I9" s="1062">
        <f>I10+I11</f>
        <v>9030</v>
      </c>
      <c r="J9" s="1062">
        <f>J10+J11</f>
        <v>0</v>
      </c>
      <c r="K9" s="1062">
        <f>K10+K11</f>
        <v>850</v>
      </c>
      <c r="L9" s="1097"/>
      <c r="M9" s="1062">
        <f t="shared" ref="M9:Q9" si="17">M10+M11</f>
        <v>3280</v>
      </c>
      <c r="N9" s="1062">
        <f t="shared" si="17"/>
        <v>7652</v>
      </c>
      <c r="O9" s="1062">
        <f t="shared" si="17"/>
        <v>240</v>
      </c>
      <c r="P9" s="1062">
        <f t="shared" si="17"/>
        <v>5760</v>
      </c>
      <c r="Q9" s="1062">
        <f t="shared" si="17"/>
        <v>0</v>
      </c>
      <c r="R9" s="1062">
        <f>R10+R11</f>
        <v>1892</v>
      </c>
    </row>
    <row r="10" spans="1:39" ht="15.75">
      <c r="A10" s="1083" t="s">
        <v>255</v>
      </c>
      <c r="B10" s="1065">
        <f>Численность!G11</f>
        <v>232</v>
      </c>
      <c r="C10" s="1071">
        <f>Жилфонд!G13</f>
        <v>4.1260000000000003</v>
      </c>
      <c r="D10" s="1075">
        <f t="shared" si="6"/>
        <v>17.8</v>
      </c>
      <c r="E10" s="1057"/>
      <c r="F10" s="1060">
        <v>31</v>
      </c>
      <c r="G10" s="1060">
        <f t="shared" si="9"/>
        <v>4095</v>
      </c>
      <c r="H10" s="1061">
        <f>'проект числ-сть'!L12</f>
        <v>195</v>
      </c>
      <c r="I10" s="1060">
        <f t="shared" si="4"/>
        <v>4095</v>
      </c>
      <c r="J10" s="1060">
        <f t="shared" si="10"/>
        <v>0</v>
      </c>
      <c r="K10" s="1060">
        <f t="shared" si="15"/>
        <v>0</v>
      </c>
      <c r="L10" s="1097"/>
      <c r="M10" s="1069">
        <f t="shared" si="11"/>
        <v>1238</v>
      </c>
      <c r="N10" s="1065">
        <f>C10*1000-M10</f>
        <v>2888</v>
      </c>
      <c r="O10" s="1065">
        <f>'проект числ-сть'!M12</f>
        <v>106</v>
      </c>
      <c r="P10" s="1069">
        <f t="shared" si="5"/>
        <v>2544</v>
      </c>
      <c r="Q10" s="1069">
        <f t="shared" si="12"/>
        <v>0</v>
      </c>
      <c r="R10" s="1060">
        <f t="shared" si="13"/>
        <v>344</v>
      </c>
    </row>
    <row r="11" spans="1:39" s="25" customFormat="1" ht="15.75">
      <c r="A11" s="1083" t="s">
        <v>256</v>
      </c>
      <c r="B11" s="1065">
        <f>Численность!G12</f>
        <v>293</v>
      </c>
      <c r="C11" s="1071">
        <f>Жилфонд!G14</f>
        <v>6.806</v>
      </c>
      <c r="D11" s="1075">
        <f t="shared" si="6"/>
        <v>23.2</v>
      </c>
      <c r="E11" s="1057"/>
      <c r="F11" s="1060">
        <f>ROUND(M11/2,0)</f>
        <v>1021</v>
      </c>
      <c r="G11" s="1060">
        <f t="shared" si="9"/>
        <v>5785</v>
      </c>
      <c r="H11" s="1061">
        <f>'проект числ-сть'!L13</f>
        <v>235</v>
      </c>
      <c r="I11" s="1060">
        <f t="shared" si="4"/>
        <v>4935</v>
      </c>
      <c r="J11" s="1060">
        <f t="shared" si="10"/>
        <v>0</v>
      </c>
      <c r="K11" s="1060">
        <f t="shared" si="15"/>
        <v>850</v>
      </c>
      <c r="L11" s="1097"/>
      <c r="M11" s="1069">
        <f t="shared" si="11"/>
        <v>2042</v>
      </c>
      <c r="N11" s="1065">
        <f>C11*1000-M11</f>
        <v>4764</v>
      </c>
      <c r="O11" s="1065">
        <f>'проект числ-сть'!M13</f>
        <v>134</v>
      </c>
      <c r="P11" s="1069">
        <f t="shared" si="5"/>
        <v>3216</v>
      </c>
      <c r="Q11" s="1069">
        <f t="shared" si="12"/>
        <v>0</v>
      </c>
      <c r="R11" s="1060">
        <f t="shared" si="13"/>
        <v>1548</v>
      </c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</row>
    <row r="12" spans="1:39" s="152" customFormat="1" ht="15.75">
      <c r="A12" s="1082" t="s">
        <v>257</v>
      </c>
      <c r="B12" s="1066">
        <f>SUM(B13:B15)</f>
        <v>1107</v>
      </c>
      <c r="C12" s="1072">
        <f>SUM(C13:C15)</f>
        <v>20.348999999999997</v>
      </c>
      <c r="D12" s="1076">
        <f t="shared" si="6"/>
        <v>18.399999999999999</v>
      </c>
      <c r="E12" s="1058"/>
      <c r="F12" s="1062">
        <f t="shared" ref="F12:G12" si="18">SUM(F13:F15)</f>
        <v>2547</v>
      </c>
      <c r="G12" s="1062">
        <f t="shared" si="18"/>
        <v>17802</v>
      </c>
      <c r="H12" s="1062">
        <f>SUM(H13:H15)</f>
        <v>752</v>
      </c>
      <c r="I12" s="1062">
        <f>SUM(I13:I15)</f>
        <v>15792</v>
      </c>
      <c r="J12" s="1062">
        <f>SUM(J13:J15)</f>
        <v>556</v>
      </c>
      <c r="K12" s="1062">
        <f>SUM(K13:K15)</f>
        <v>2566</v>
      </c>
      <c r="L12" s="1097"/>
      <c r="M12" s="1062">
        <f t="shared" ref="M12:Q12" si="19">SUM(M13:M15)</f>
        <v>6104</v>
      </c>
      <c r="N12" s="1062">
        <f t="shared" si="19"/>
        <v>14245</v>
      </c>
      <c r="O12" s="1062">
        <f t="shared" si="19"/>
        <v>472</v>
      </c>
      <c r="P12" s="1062">
        <f t="shared" si="19"/>
        <v>11328</v>
      </c>
      <c r="Q12" s="1062">
        <f t="shared" si="19"/>
        <v>556</v>
      </c>
      <c r="R12" s="1062">
        <f>SUM(R13:R15)</f>
        <v>3473</v>
      </c>
    </row>
    <row r="13" spans="1:39" ht="15.75">
      <c r="A13" s="1083" t="s">
        <v>258</v>
      </c>
      <c r="B13" s="1065">
        <f>Численность!G14</f>
        <v>701</v>
      </c>
      <c r="C13" s="1071">
        <f>Жилфонд!G16</f>
        <v>15.696999999999999</v>
      </c>
      <c r="D13" s="1075">
        <f t="shared" si="6"/>
        <v>22.4</v>
      </c>
      <c r="E13" s="1057"/>
      <c r="F13" s="1060">
        <f>ROUND(M13/2,0)</f>
        <v>2355</v>
      </c>
      <c r="G13" s="1060">
        <f t="shared" si="9"/>
        <v>13342</v>
      </c>
      <c r="H13" s="1061">
        <f>'проект числ-сть'!L15</f>
        <v>514</v>
      </c>
      <c r="I13" s="1060">
        <f t="shared" si="4"/>
        <v>10794</v>
      </c>
      <c r="J13" s="1060">
        <f t="shared" si="10"/>
        <v>0</v>
      </c>
      <c r="K13" s="1060">
        <f t="shared" si="15"/>
        <v>2548</v>
      </c>
      <c r="L13" s="1097"/>
      <c r="M13" s="1069">
        <f t="shared" si="11"/>
        <v>4709</v>
      </c>
      <c r="N13" s="1065">
        <f>C13*1000-M13</f>
        <v>10988</v>
      </c>
      <c r="O13" s="1065">
        <f>'проект числ-сть'!M15</f>
        <v>406</v>
      </c>
      <c r="P13" s="1069">
        <f t="shared" si="5"/>
        <v>9744</v>
      </c>
      <c r="Q13" s="1069">
        <f t="shared" si="12"/>
        <v>0</v>
      </c>
      <c r="R13" s="1060">
        <f t="shared" si="13"/>
        <v>1244</v>
      </c>
    </row>
    <row r="14" spans="1:39" ht="15.75">
      <c r="A14" s="1083" t="s">
        <v>259</v>
      </c>
      <c r="B14" s="1065">
        <f>Численность!G15</f>
        <v>87</v>
      </c>
      <c r="C14" s="1071">
        <f>Жилфонд!G17</f>
        <v>1.2809999999999999</v>
      </c>
      <c r="D14" s="1075">
        <f t="shared" si="6"/>
        <v>14.7</v>
      </c>
      <c r="E14" s="1057"/>
      <c r="F14" s="1060">
        <f>ROUND(M14/2,0)</f>
        <v>192</v>
      </c>
      <c r="G14" s="1060">
        <f t="shared" si="9"/>
        <v>1089</v>
      </c>
      <c r="H14" s="1061">
        <f>'проект числ-сть'!L16</f>
        <v>51</v>
      </c>
      <c r="I14" s="1060">
        <f t="shared" si="4"/>
        <v>1071</v>
      </c>
      <c r="J14" s="1060">
        <f t="shared" si="10"/>
        <v>0</v>
      </c>
      <c r="K14" s="1060">
        <f t="shared" si="15"/>
        <v>18</v>
      </c>
      <c r="L14" s="1097"/>
      <c r="M14" s="1069">
        <f t="shared" si="11"/>
        <v>384</v>
      </c>
      <c r="N14" s="1065">
        <f>C14*1000-M14</f>
        <v>897</v>
      </c>
      <c r="O14" s="1065">
        <f>'проект числ-сть'!M16</f>
        <v>14</v>
      </c>
      <c r="P14" s="1069">
        <f t="shared" si="5"/>
        <v>336</v>
      </c>
      <c r="Q14" s="1069">
        <f t="shared" si="12"/>
        <v>0</v>
      </c>
      <c r="R14" s="1060">
        <f t="shared" si="13"/>
        <v>561</v>
      </c>
    </row>
    <row r="15" spans="1:39" ht="15.75">
      <c r="A15" s="1083" t="s">
        <v>260</v>
      </c>
      <c r="B15" s="1065">
        <f>Численность!G16</f>
        <v>319</v>
      </c>
      <c r="C15" s="1071">
        <f>Жилфонд!G18</f>
        <v>3.371</v>
      </c>
      <c r="D15" s="1075">
        <f t="shared" si="6"/>
        <v>10.6</v>
      </c>
      <c r="E15" s="1057"/>
      <c r="F15" s="1060">
        <v>0</v>
      </c>
      <c r="G15" s="1060">
        <f t="shared" si="9"/>
        <v>3371</v>
      </c>
      <c r="H15" s="1061">
        <f>'проект числ-сть'!L17</f>
        <v>187</v>
      </c>
      <c r="I15" s="1060">
        <f t="shared" si="4"/>
        <v>3927</v>
      </c>
      <c r="J15" s="1098">
        <f t="shared" si="10"/>
        <v>556</v>
      </c>
      <c r="K15" s="1060">
        <f t="shared" si="15"/>
        <v>0</v>
      </c>
      <c r="L15" s="1097"/>
      <c r="M15" s="1069">
        <f t="shared" si="11"/>
        <v>1011</v>
      </c>
      <c r="N15" s="1065">
        <f>C15*1000-M15</f>
        <v>2360</v>
      </c>
      <c r="O15" s="1065">
        <f>'проект числ-сть'!M17</f>
        <v>52</v>
      </c>
      <c r="P15" s="1069">
        <f t="shared" si="5"/>
        <v>1248</v>
      </c>
      <c r="Q15" s="1069">
        <v>556</v>
      </c>
      <c r="R15" s="1060">
        <v>1668</v>
      </c>
      <c r="S15" s="16">
        <f>R15+J15</f>
        <v>2224</v>
      </c>
    </row>
    <row r="16" spans="1:39" s="152" customFormat="1" ht="31.5">
      <c r="A16" s="1082" t="s">
        <v>261</v>
      </c>
      <c r="B16" s="1066">
        <f>B17+B18</f>
        <v>782</v>
      </c>
      <c r="C16" s="1072">
        <f>C17+C18</f>
        <v>20.169999999999998</v>
      </c>
      <c r="D16" s="1076">
        <f t="shared" si="6"/>
        <v>25.8</v>
      </c>
      <c r="E16" s="1058"/>
      <c r="F16" s="1062">
        <f t="shared" ref="F16:G16" si="20">F17+F18</f>
        <v>3026</v>
      </c>
      <c r="G16" s="1062">
        <f t="shared" si="20"/>
        <v>17144</v>
      </c>
      <c r="H16" s="1062">
        <f>H17+H18</f>
        <v>612</v>
      </c>
      <c r="I16" s="1062">
        <f>I17+I18</f>
        <v>12852</v>
      </c>
      <c r="J16" s="1062">
        <f>J17+J18</f>
        <v>0</v>
      </c>
      <c r="K16" s="1062">
        <f>K17+K18</f>
        <v>4292</v>
      </c>
      <c r="L16" s="1097"/>
      <c r="M16" s="1062">
        <f t="shared" ref="M16:Q16" si="21">M17+M18</f>
        <v>6051</v>
      </c>
      <c r="N16" s="1062">
        <f t="shared" si="21"/>
        <v>14119</v>
      </c>
      <c r="O16" s="1062">
        <f t="shared" si="21"/>
        <v>434</v>
      </c>
      <c r="P16" s="1062">
        <f t="shared" si="21"/>
        <v>10416</v>
      </c>
      <c r="Q16" s="1062">
        <f t="shared" si="21"/>
        <v>0</v>
      </c>
      <c r="R16" s="1062">
        <f>R17+R18</f>
        <v>3703</v>
      </c>
    </row>
    <row r="17" spans="1:39" s="25" customFormat="1" ht="15.75">
      <c r="A17" s="1083" t="s">
        <v>262</v>
      </c>
      <c r="B17" s="1065">
        <f>Численность!G18</f>
        <v>606</v>
      </c>
      <c r="C17" s="1071">
        <f>Жилфонд!G20</f>
        <v>12.36</v>
      </c>
      <c r="D17" s="1075">
        <f t="shared" si="6"/>
        <v>20.399999999999999</v>
      </c>
      <c r="E17" s="1057"/>
      <c r="F17" s="1060">
        <f>ROUND(M17/2,0)</f>
        <v>1854</v>
      </c>
      <c r="G17" s="1060">
        <f t="shared" si="9"/>
        <v>10506</v>
      </c>
      <c r="H17" s="1061">
        <f>'проект числ-сть'!L19</f>
        <v>476</v>
      </c>
      <c r="I17" s="1060">
        <f t="shared" si="4"/>
        <v>9996</v>
      </c>
      <c r="J17" s="1060">
        <f t="shared" si="10"/>
        <v>0</v>
      </c>
      <c r="K17" s="1060">
        <f t="shared" si="15"/>
        <v>510</v>
      </c>
      <c r="L17" s="1097"/>
      <c r="M17" s="1069">
        <f t="shared" si="11"/>
        <v>3708</v>
      </c>
      <c r="N17" s="1065">
        <f>C17*1000-M17</f>
        <v>8652</v>
      </c>
      <c r="O17" s="1065">
        <f>'проект числ-сть'!M19</f>
        <v>346</v>
      </c>
      <c r="P17" s="1069">
        <f t="shared" si="5"/>
        <v>8304</v>
      </c>
      <c r="Q17" s="1069">
        <f t="shared" si="12"/>
        <v>0</v>
      </c>
      <c r="R17" s="1060">
        <f t="shared" si="13"/>
        <v>348</v>
      </c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</row>
    <row r="18" spans="1:39" ht="15.75">
      <c r="A18" s="1083" t="s">
        <v>263</v>
      </c>
      <c r="B18" s="1065">
        <f>Численность!G19</f>
        <v>176</v>
      </c>
      <c r="C18" s="1071">
        <f>Жилфонд!G21</f>
        <v>7.81</v>
      </c>
      <c r="D18" s="1075">
        <f t="shared" si="6"/>
        <v>44.4</v>
      </c>
      <c r="E18" s="1057"/>
      <c r="F18" s="1060">
        <f>ROUND(M18/2,0)</f>
        <v>1172</v>
      </c>
      <c r="G18" s="1060">
        <f t="shared" si="9"/>
        <v>6638</v>
      </c>
      <c r="H18" s="1061">
        <f>'проект числ-сть'!L20</f>
        <v>136</v>
      </c>
      <c r="I18" s="1060">
        <f t="shared" si="4"/>
        <v>2856</v>
      </c>
      <c r="J18" s="1060">
        <f t="shared" si="10"/>
        <v>0</v>
      </c>
      <c r="K18" s="1060">
        <f t="shared" si="15"/>
        <v>3782</v>
      </c>
      <c r="L18" s="1097"/>
      <c r="M18" s="1069">
        <f t="shared" si="11"/>
        <v>2343</v>
      </c>
      <c r="N18" s="1065">
        <f>C18*1000-M18</f>
        <v>5467</v>
      </c>
      <c r="O18" s="1065">
        <f>'проект числ-сть'!M20</f>
        <v>88</v>
      </c>
      <c r="P18" s="1069">
        <f t="shared" si="5"/>
        <v>2112</v>
      </c>
      <c r="Q18" s="1069">
        <f t="shared" si="12"/>
        <v>0</v>
      </c>
      <c r="R18" s="1060">
        <f t="shared" si="13"/>
        <v>3355</v>
      </c>
    </row>
    <row r="19" spans="1:39" s="152" customFormat="1" ht="15.75">
      <c r="A19" s="1082" t="s">
        <v>264</v>
      </c>
      <c r="B19" s="1066">
        <f>B20+B21</f>
        <v>480</v>
      </c>
      <c r="C19" s="1072">
        <f>C20+C21</f>
        <v>5.8079999999999998</v>
      </c>
      <c r="D19" s="1076">
        <f t="shared" si="6"/>
        <v>12.1</v>
      </c>
      <c r="E19" s="1058"/>
      <c r="F19" s="1062">
        <f t="shared" ref="F19:G19" si="22">F20+F21</f>
        <v>0</v>
      </c>
      <c r="G19" s="1062">
        <f t="shared" si="22"/>
        <v>5808</v>
      </c>
      <c r="H19" s="1062">
        <f>H20+H21</f>
        <v>329</v>
      </c>
      <c r="I19" s="1062">
        <f>I20+I21</f>
        <v>6909</v>
      </c>
      <c r="J19" s="1062">
        <f>J20+J21</f>
        <v>1101</v>
      </c>
      <c r="K19" s="1062">
        <f>K20+K21</f>
        <v>0</v>
      </c>
      <c r="L19" s="1097"/>
      <c r="M19" s="1062">
        <f t="shared" ref="M19:Q19" si="23">M20+M21</f>
        <v>1742</v>
      </c>
      <c r="N19" s="1062">
        <f t="shared" si="23"/>
        <v>4066</v>
      </c>
      <c r="O19" s="1062">
        <f t="shared" si="23"/>
        <v>179</v>
      </c>
      <c r="P19" s="1062">
        <f t="shared" si="23"/>
        <v>4296</v>
      </c>
      <c r="Q19" s="1062">
        <f t="shared" si="23"/>
        <v>1119</v>
      </c>
      <c r="R19" s="1062">
        <f>R20+R21</f>
        <v>889</v>
      </c>
    </row>
    <row r="20" spans="1:39" ht="15.75">
      <c r="A20" s="1083" t="s">
        <v>265</v>
      </c>
      <c r="B20" s="1065">
        <f>Численность!G21</f>
        <v>377</v>
      </c>
      <c r="C20" s="1071">
        <f>Жилфонд!G23</f>
        <v>4.5179999999999998</v>
      </c>
      <c r="D20" s="1075">
        <f t="shared" si="6"/>
        <v>12</v>
      </c>
      <c r="E20" s="1057"/>
      <c r="F20" s="1060">
        <v>0</v>
      </c>
      <c r="G20" s="1060">
        <f t="shared" si="9"/>
        <v>4518</v>
      </c>
      <c r="H20" s="1061">
        <f>'проект числ-сть'!L22</f>
        <v>252</v>
      </c>
      <c r="I20" s="1060">
        <f t="shared" si="4"/>
        <v>5292</v>
      </c>
      <c r="J20" s="1098">
        <f t="shared" si="10"/>
        <v>774</v>
      </c>
      <c r="K20" s="1060">
        <f t="shared" si="15"/>
        <v>0</v>
      </c>
      <c r="L20" s="1097"/>
      <c r="M20" s="1069">
        <f t="shared" si="11"/>
        <v>1355</v>
      </c>
      <c r="N20" s="1065">
        <f>C20*1000-M20</f>
        <v>3163</v>
      </c>
      <c r="O20" s="1065">
        <f>'проект числ-сть'!M22</f>
        <v>127</v>
      </c>
      <c r="P20" s="1069">
        <f t="shared" si="5"/>
        <v>3048</v>
      </c>
      <c r="Q20" s="1069">
        <v>774</v>
      </c>
      <c r="R20" s="1060">
        <v>889</v>
      </c>
      <c r="S20" s="16">
        <f>R20+J20</f>
        <v>1663</v>
      </c>
    </row>
    <row r="21" spans="1:39" ht="15.75">
      <c r="A21" s="1083" t="s">
        <v>266</v>
      </c>
      <c r="B21" s="1065">
        <f>Численность!G22</f>
        <v>103</v>
      </c>
      <c r="C21" s="1071">
        <f>Жилфонд!G24</f>
        <v>1.29</v>
      </c>
      <c r="D21" s="1075">
        <f t="shared" si="6"/>
        <v>12.5</v>
      </c>
      <c r="E21" s="1057"/>
      <c r="F21" s="1060">
        <v>0</v>
      </c>
      <c r="G21" s="1060">
        <f t="shared" si="9"/>
        <v>1290</v>
      </c>
      <c r="H21" s="1061">
        <f>'проект числ-сть'!L23</f>
        <v>77</v>
      </c>
      <c r="I21" s="1060">
        <f t="shared" si="4"/>
        <v>1617</v>
      </c>
      <c r="J21" s="1060">
        <f t="shared" si="10"/>
        <v>327</v>
      </c>
      <c r="K21" s="1060">
        <f t="shared" si="15"/>
        <v>0</v>
      </c>
      <c r="L21" s="1097"/>
      <c r="M21" s="1069">
        <f t="shared" si="11"/>
        <v>387</v>
      </c>
      <c r="N21" s="1065">
        <f>C21*1000-M21</f>
        <v>903</v>
      </c>
      <c r="O21" s="1065">
        <f>'проект числ-сть'!M23</f>
        <v>52</v>
      </c>
      <c r="P21" s="1069">
        <f t="shared" si="5"/>
        <v>1248</v>
      </c>
      <c r="Q21" s="1069">
        <f t="shared" si="12"/>
        <v>345</v>
      </c>
      <c r="R21" s="1060">
        <f t="shared" si="13"/>
        <v>0</v>
      </c>
    </row>
    <row r="22" spans="1:39" s="152" customFormat="1" ht="15.75">
      <c r="A22" s="1082" t="s">
        <v>267</v>
      </c>
      <c r="B22" s="1066">
        <f>SUM(B23:B25)</f>
        <v>551</v>
      </c>
      <c r="C22" s="1072">
        <f>SUM(C23:C25)</f>
        <v>11.657</v>
      </c>
      <c r="D22" s="1076">
        <f t="shared" si="6"/>
        <v>21.2</v>
      </c>
      <c r="E22" s="1058"/>
      <c r="F22" s="1062">
        <f t="shared" ref="F22:G22" si="24">SUM(F23:F25)</f>
        <v>1750</v>
      </c>
      <c r="G22" s="1062">
        <f t="shared" si="24"/>
        <v>9907</v>
      </c>
      <c r="H22" s="1062">
        <f>SUM(H23:H25)</f>
        <v>453</v>
      </c>
      <c r="I22" s="1062">
        <f>SUM(I23:I25)</f>
        <v>9513</v>
      </c>
      <c r="J22" s="1062">
        <f>SUM(J23:J25)</f>
        <v>1237</v>
      </c>
      <c r="K22" s="1062">
        <f>SUM(K23:K25)</f>
        <v>1631</v>
      </c>
      <c r="L22" s="1097"/>
      <c r="M22" s="1062">
        <f t="shared" ref="M22:Q22" si="25">SUM(M23:M25)</f>
        <v>3497</v>
      </c>
      <c r="N22" s="1062">
        <f t="shared" si="25"/>
        <v>8160</v>
      </c>
      <c r="O22" s="1062">
        <f t="shared" si="25"/>
        <v>356</v>
      </c>
      <c r="P22" s="1062">
        <f t="shared" si="25"/>
        <v>8544</v>
      </c>
      <c r="Q22" s="1062">
        <f t="shared" si="25"/>
        <v>1865</v>
      </c>
      <c r="R22" s="1062">
        <f>SUM(R23:R25)</f>
        <v>1481</v>
      </c>
    </row>
    <row r="23" spans="1:39" s="25" customFormat="1" ht="15.75">
      <c r="A23" s="1083" t="s">
        <v>268</v>
      </c>
      <c r="B23" s="1065">
        <f>Численность!G24</f>
        <v>402</v>
      </c>
      <c r="C23" s="1071">
        <f>Жилфонд!G26</f>
        <v>6.97</v>
      </c>
      <c r="D23" s="1075">
        <f t="shared" si="6"/>
        <v>17.3</v>
      </c>
      <c r="E23" s="1057"/>
      <c r="F23" s="1060">
        <f>ROUND(M23/2,0)</f>
        <v>1046</v>
      </c>
      <c r="G23" s="1060">
        <f t="shared" si="9"/>
        <v>5924</v>
      </c>
      <c r="H23" s="1061">
        <f>'проект числ-сть'!L25</f>
        <v>341</v>
      </c>
      <c r="I23" s="1060">
        <f t="shared" si="4"/>
        <v>7161</v>
      </c>
      <c r="J23" s="1060">
        <f t="shared" si="10"/>
        <v>1237</v>
      </c>
      <c r="K23" s="1060">
        <f t="shared" si="15"/>
        <v>0</v>
      </c>
      <c r="L23" s="1097"/>
      <c r="M23" s="1069">
        <f t="shared" si="11"/>
        <v>2091</v>
      </c>
      <c r="N23" s="1065">
        <f>C23*1000-M23</f>
        <v>4879</v>
      </c>
      <c r="O23" s="1065">
        <f>'проект числ-сть'!M25</f>
        <v>281</v>
      </c>
      <c r="P23" s="1069">
        <f t="shared" si="5"/>
        <v>6744</v>
      </c>
      <c r="Q23" s="1069">
        <f t="shared" si="12"/>
        <v>1865</v>
      </c>
      <c r="R23" s="1060">
        <f t="shared" si="13"/>
        <v>0</v>
      </c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</row>
    <row r="24" spans="1:39" ht="20.25" customHeight="1">
      <c r="A24" s="1083" t="s">
        <v>269</v>
      </c>
      <c r="B24" s="1065">
        <f>Численность!G25</f>
        <v>87</v>
      </c>
      <c r="C24" s="1071">
        <f>Жилфонд!G27</f>
        <v>2.2360000000000002</v>
      </c>
      <c r="D24" s="1075">
        <f t="shared" si="6"/>
        <v>25.7</v>
      </c>
      <c r="E24" s="1057"/>
      <c r="F24" s="1060">
        <f>ROUND(M24/2,0)</f>
        <v>336</v>
      </c>
      <c r="G24" s="1060">
        <f t="shared" si="9"/>
        <v>1900</v>
      </c>
      <c r="H24" s="1061">
        <f>'проект числ-сть'!L26</f>
        <v>65</v>
      </c>
      <c r="I24" s="1060">
        <f t="shared" si="4"/>
        <v>1365</v>
      </c>
      <c r="J24" s="1060">
        <f t="shared" si="10"/>
        <v>0</v>
      </c>
      <c r="K24" s="1060">
        <f t="shared" si="15"/>
        <v>535</v>
      </c>
      <c r="L24" s="1097"/>
      <c r="M24" s="1069">
        <f t="shared" si="11"/>
        <v>671</v>
      </c>
      <c r="N24" s="1065">
        <f>C24*1000-M24</f>
        <v>1565</v>
      </c>
      <c r="O24" s="1065">
        <f>'проект числ-сть'!M26</f>
        <v>44</v>
      </c>
      <c r="P24" s="1069">
        <f t="shared" si="5"/>
        <v>1056</v>
      </c>
      <c r="Q24" s="1069">
        <f t="shared" si="12"/>
        <v>0</v>
      </c>
      <c r="R24" s="1060">
        <f t="shared" si="13"/>
        <v>509</v>
      </c>
    </row>
    <row r="25" spans="1:39" ht="15.75">
      <c r="A25" s="1083" t="s">
        <v>270</v>
      </c>
      <c r="B25" s="1065">
        <f>Численность!G26</f>
        <v>62</v>
      </c>
      <c r="C25" s="1071">
        <f>Жилфонд!G28</f>
        <v>2.4510000000000001</v>
      </c>
      <c r="D25" s="1075">
        <f t="shared" si="6"/>
        <v>39.5</v>
      </c>
      <c r="E25" s="1057"/>
      <c r="F25" s="1060">
        <f>ROUND(M25/2,0)</f>
        <v>368</v>
      </c>
      <c r="G25" s="1060">
        <f t="shared" si="9"/>
        <v>2083</v>
      </c>
      <c r="H25" s="1061">
        <f>'проект числ-сть'!L27</f>
        <v>47</v>
      </c>
      <c r="I25" s="1060">
        <f t="shared" si="4"/>
        <v>987</v>
      </c>
      <c r="J25" s="1060">
        <f t="shared" si="10"/>
        <v>0</v>
      </c>
      <c r="K25" s="1060">
        <f t="shared" si="15"/>
        <v>1096</v>
      </c>
      <c r="L25" s="1097"/>
      <c r="M25" s="1069">
        <f t="shared" si="11"/>
        <v>735</v>
      </c>
      <c r="N25" s="1065">
        <f>C25*1000-M25</f>
        <v>1716</v>
      </c>
      <c r="O25" s="1065">
        <f>'проект числ-сть'!M27</f>
        <v>31</v>
      </c>
      <c r="P25" s="1069">
        <f t="shared" si="5"/>
        <v>744</v>
      </c>
      <c r="Q25" s="1069">
        <f t="shared" si="12"/>
        <v>0</v>
      </c>
      <c r="R25" s="1060">
        <f t="shared" si="13"/>
        <v>972</v>
      </c>
    </row>
    <row r="26" spans="1:39" s="25" customFormat="1" ht="15.75">
      <c r="A26" s="1082" t="s">
        <v>271</v>
      </c>
      <c r="B26" s="1066">
        <f>SUM(B27:B31)</f>
        <v>1680</v>
      </c>
      <c r="C26" s="1072">
        <f>SUM(C27:C31)</f>
        <v>40.099999999999994</v>
      </c>
      <c r="D26" s="1076">
        <f t="shared" si="6"/>
        <v>23.9</v>
      </c>
      <c r="E26" s="1058"/>
      <c r="F26" s="1062">
        <f t="shared" ref="F26:G26" si="26">SUM(F27:F31)</f>
        <v>6015</v>
      </c>
      <c r="G26" s="1062">
        <f t="shared" si="26"/>
        <v>34085</v>
      </c>
      <c r="H26" s="1062">
        <f>SUM(H27:H31)</f>
        <v>1547</v>
      </c>
      <c r="I26" s="1062">
        <f>SUM(I27:I31)</f>
        <v>32487</v>
      </c>
      <c r="J26" s="1062">
        <f>SUM(J27:J31)</f>
        <v>2275.0000000000018</v>
      </c>
      <c r="K26" s="1062">
        <f>SUM(K27:K31)</f>
        <v>3873</v>
      </c>
      <c r="L26" s="1097"/>
      <c r="M26" s="1062">
        <f t="shared" ref="M26:Q26" si="27">SUM(M27:M31)</f>
        <v>12030</v>
      </c>
      <c r="N26" s="1062">
        <f t="shared" si="27"/>
        <v>28070</v>
      </c>
      <c r="O26" s="1062">
        <f t="shared" si="27"/>
        <v>1404</v>
      </c>
      <c r="P26" s="1062">
        <f t="shared" si="27"/>
        <v>33696</v>
      </c>
      <c r="Q26" s="1062">
        <f t="shared" si="27"/>
        <v>8480.0000000000018</v>
      </c>
      <c r="R26" s="1062">
        <f>SUM(R27:R31)</f>
        <v>2854</v>
      </c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  <c r="AJ26" s="152"/>
      <c r="AK26" s="152"/>
      <c r="AL26" s="152"/>
      <c r="AM26" s="152"/>
    </row>
    <row r="27" spans="1:39" ht="15.75">
      <c r="A27" s="1083" t="s">
        <v>272</v>
      </c>
      <c r="B27" s="1065">
        <f>Численность!G28</f>
        <v>566</v>
      </c>
      <c r="C27" s="1071">
        <f>Жилфонд!G30</f>
        <v>13.7</v>
      </c>
      <c r="D27" s="1075">
        <f t="shared" si="6"/>
        <v>24.2</v>
      </c>
      <c r="E27" s="1057"/>
      <c r="F27" s="1060">
        <f>ROUND(M27/2,0)</f>
        <v>2055</v>
      </c>
      <c r="G27" s="1060">
        <f t="shared" si="9"/>
        <v>11645</v>
      </c>
      <c r="H27" s="1061">
        <f>'проект числ-сть'!L29</f>
        <v>498</v>
      </c>
      <c r="I27" s="1060">
        <f t="shared" si="4"/>
        <v>10458</v>
      </c>
      <c r="J27" s="1060">
        <f t="shared" si="10"/>
        <v>0</v>
      </c>
      <c r="K27" s="1060">
        <f t="shared" si="15"/>
        <v>1187</v>
      </c>
      <c r="L27" s="1097"/>
      <c r="M27" s="1069">
        <f t="shared" si="11"/>
        <v>4110</v>
      </c>
      <c r="N27" s="1065">
        <f>C27*1000-M27</f>
        <v>9590</v>
      </c>
      <c r="O27" s="1065">
        <f>'проект числ-сть'!M29</f>
        <v>425</v>
      </c>
      <c r="P27" s="1069">
        <f t="shared" si="5"/>
        <v>10200</v>
      </c>
      <c r="Q27" s="1069">
        <f t="shared" si="12"/>
        <v>610</v>
      </c>
      <c r="R27" s="1060">
        <f t="shared" si="13"/>
        <v>0</v>
      </c>
    </row>
    <row r="28" spans="1:39" ht="15.75">
      <c r="A28" s="1083" t="s">
        <v>273</v>
      </c>
      <c r="B28" s="1065">
        <f>Численность!G29</f>
        <v>147</v>
      </c>
      <c r="C28" s="1071">
        <f>Жилфонд!G31</f>
        <v>2.8</v>
      </c>
      <c r="D28" s="1075">
        <f t="shared" si="6"/>
        <v>19</v>
      </c>
      <c r="E28" s="1057"/>
      <c r="F28" s="1060">
        <f>ROUND(M28/2,0)</f>
        <v>420</v>
      </c>
      <c r="G28" s="1060">
        <f t="shared" si="9"/>
        <v>2380</v>
      </c>
      <c r="H28" s="1061">
        <f>'проект числ-сть'!L30</f>
        <v>109</v>
      </c>
      <c r="I28" s="1060">
        <f t="shared" si="4"/>
        <v>2289</v>
      </c>
      <c r="J28" s="1060">
        <f t="shared" si="10"/>
        <v>0</v>
      </c>
      <c r="K28" s="1060">
        <f t="shared" si="15"/>
        <v>91</v>
      </c>
      <c r="L28" s="1097"/>
      <c r="M28" s="1069">
        <f t="shared" si="11"/>
        <v>840</v>
      </c>
      <c r="N28" s="1065">
        <f>C28*1000-M28</f>
        <v>1960</v>
      </c>
      <c r="O28" s="1065">
        <f>'проект числ-сть'!M30</f>
        <v>72</v>
      </c>
      <c r="P28" s="1069">
        <f t="shared" si="5"/>
        <v>1728</v>
      </c>
      <c r="Q28" s="1069">
        <f t="shared" si="12"/>
        <v>0</v>
      </c>
      <c r="R28" s="1060">
        <f t="shared" si="13"/>
        <v>232</v>
      </c>
    </row>
    <row r="29" spans="1:39" s="25" customFormat="1" ht="15.75">
      <c r="A29" s="1083" t="s">
        <v>274</v>
      </c>
      <c r="B29" s="1065">
        <f>Численность!G30</f>
        <v>501</v>
      </c>
      <c r="C29" s="1071">
        <f>Жилфонд!G32</f>
        <v>11.899999999999999</v>
      </c>
      <c r="D29" s="1075">
        <f t="shared" si="6"/>
        <v>23.8</v>
      </c>
      <c r="E29" s="1057"/>
      <c r="F29" s="1060">
        <f>ROUND(M29/2,0)</f>
        <v>1785</v>
      </c>
      <c r="G29" s="1060">
        <f t="shared" si="9"/>
        <v>10114.999999999998</v>
      </c>
      <c r="H29" s="1061">
        <f>'проект числ-сть'!L31</f>
        <v>590</v>
      </c>
      <c r="I29" s="1060">
        <f t="shared" si="4"/>
        <v>12390</v>
      </c>
      <c r="J29" s="1060">
        <f t="shared" si="10"/>
        <v>2275.0000000000018</v>
      </c>
      <c r="K29" s="1060">
        <f t="shared" si="15"/>
        <v>0</v>
      </c>
      <c r="L29" s="1097"/>
      <c r="M29" s="1069">
        <f t="shared" si="11"/>
        <v>3570</v>
      </c>
      <c r="N29" s="1065">
        <f>C29*1000-M29</f>
        <v>8329.9999999999982</v>
      </c>
      <c r="O29" s="1065">
        <f>'проект числ-сть'!M31</f>
        <v>675</v>
      </c>
      <c r="P29" s="1069">
        <f t="shared" si="5"/>
        <v>16200</v>
      </c>
      <c r="Q29" s="1069">
        <f t="shared" si="12"/>
        <v>7870.0000000000018</v>
      </c>
      <c r="R29" s="1060">
        <f t="shared" si="13"/>
        <v>0</v>
      </c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</row>
    <row r="30" spans="1:39" ht="15.75">
      <c r="A30" s="1083" t="s">
        <v>275</v>
      </c>
      <c r="B30" s="1065">
        <f>Численность!G31</f>
        <v>382</v>
      </c>
      <c r="C30" s="1071">
        <f>Жилфонд!G33</f>
        <v>9.4</v>
      </c>
      <c r="D30" s="1075">
        <f t="shared" si="6"/>
        <v>24.6</v>
      </c>
      <c r="E30" s="1057"/>
      <c r="F30" s="1060">
        <f>ROUND(M30/2,0)</f>
        <v>1410</v>
      </c>
      <c r="G30" s="1060">
        <f t="shared" si="9"/>
        <v>7990</v>
      </c>
      <c r="H30" s="1061">
        <f>'проект числ-сть'!L32</f>
        <v>286</v>
      </c>
      <c r="I30" s="1060">
        <f t="shared" si="4"/>
        <v>6006</v>
      </c>
      <c r="J30" s="1060">
        <f t="shared" si="10"/>
        <v>0</v>
      </c>
      <c r="K30" s="1060">
        <f t="shared" si="15"/>
        <v>1984</v>
      </c>
      <c r="L30" s="1097"/>
      <c r="M30" s="1069">
        <f t="shared" si="11"/>
        <v>2820</v>
      </c>
      <c r="N30" s="1065">
        <f>C30*1000-M30</f>
        <v>6580</v>
      </c>
      <c r="O30" s="1065">
        <f>'проект числ-сть'!M32</f>
        <v>191</v>
      </c>
      <c r="P30" s="1069">
        <f t="shared" si="5"/>
        <v>4584</v>
      </c>
      <c r="Q30" s="1069">
        <f t="shared" si="12"/>
        <v>0</v>
      </c>
      <c r="R30" s="1060">
        <f t="shared" si="13"/>
        <v>1996</v>
      </c>
    </row>
    <row r="31" spans="1:39" ht="15.75">
      <c r="A31" s="1083" t="s">
        <v>276</v>
      </c>
      <c r="B31" s="1065">
        <f>Численность!G32</f>
        <v>84</v>
      </c>
      <c r="C31" s="1071">
        <f>Жилфонд!G34</f>
        <v>2.2999999999999998</v>
      </c>
      <c r="D31" s="1075">
        <f t="shared" si="6"/>
        <v>27.4</v>
      </c>
      <c r="E31" s="1057"/>
      <c r="F31" s="1060">
        <f>ROUND(M31/2,0)</f>
        <v>345</v>
      </c>
      <c r="G31" s="1060">
        <f t="shared" si="9"/>
        <v>1955</v>
      </c>
      <c r="H31" s="1061">
        <f>'проект числ-сть'!L33</f>
        <v>64</v>
      </c>
      <c r="I31" s="1060">
        <f t="shared" si="4"/>
        <v>1344</v>
      </c>
      <c r="J31" s="1060">
        <f t="shared" si="10"/>
        <v>0</v>
      </c>
      <c r="K31" s="1060">
        <f t="shared" si="15"/>
        <v>611</v>
      </c>
      <c r="L31" s="1097"/>
      <c r="M31" s="1069">
        <f t="shared" si="11"/>
        <v>690</v>
      </c>
      <c r="N31" s="1065">
        <f>C31*1000-M31</f>
        <v>1610</v>
      </c>
      <c r="O31" s="1065">
        <f>'проект числ-сть'!M33</f>
        <v>41</v>
      </c>
      <c r="P31" s="1069">
        <f t="shared" si="5"/>
        <v>984</v>
      </c>
      <c r="Q31" s="1069">
        <f t="shared" si="12"/>
        <v>0</v>
      </c>
      <c r="R31" s="1060">
        <f t="shared" si="13"/>
        <v>626</v>
      </c>
    </row>
    <row r="32" spans="1:39" s="152" customFormat="1" ht="31.5">
      <c r="A32" s="1084" t="s">
        <v>277</v>
      </c>
      <c r="B32" s="1066">
        <f>SUM(B33:B37)</f>
        <v>933</v>
      </c>
      <c r="C32" s="1072">
        <f>SUM(C33:C37)</f>
        <v>20.079999999999998</v>
      </c>
      <c r="D32" s="1076">
        <f t="shared" si="6"/>
        <v>21.5</v>
      </c>
      <c r="E32" s="1058"/>
      <c r="F32" s="1062">
        <f t="shared" ref="F32:G32" si="28">SUM(F33:F37)</f>
        <v>3012</v>
      </c>
      <c r="G32" s="1062">
        <f t="shared" si="28"/>
        <v>17068</v>
      </c>
      <c r="H32" s="1062">
        <f>SUM(H33:H37)</f>
        <v>704</v>
      </c>
      <c r="I32" s="1062">
        <f>SUM(I33:I37)</f>
        <v>14784</v>
      </c>
      <c r="J32" s="1062">
        <f>SUM(J33:J37)</f>
        <v>448</v>
      </c>
      <c r="K32" s="1062">
        <f>SUM(K33:K37)</f>
        <v>2732</v>
      </c>
      <c r="L32" s="1097"/>
      <c r="M32" s="1062">
        <f t="shared" ref="M32:N32" si="29">SUM(M33:M37)</f>
        <v>6024</v>
      </c>
      <c r="N32" s="1062">
        <f t="shared" si="29"/>
        <v>14056</v>
      </c>
      <c r="O32" s="1062">
        <f t="shared" ref="O32" si="30">SUM(O33:O37)</f>
        <v>524</v>
      </c>
      <c r="P32" s="1062">
        <f t="shared" ref="P32" si="31">SUM(P33:P37)</f>
        <v>12576</v>
      </c>
      <c r="Q32" s="1062">
        <f t="shared" ref="Q32" si="32">SUM(Q33:Q37)</f>
        <v>1660</v>
      </c>
      <c r="R32" s="1062">
        <f t="shared" ref="R32" si="33">SUM(R33:R37)</f>
        <v>3140</v>
      </c>
    </row>
    <row r="33" spans="1:39" ht="15.75">
      <c r="A33" s="1083" t="s">
        <v>278</v>
      </c>
      <c r="B33" s="1065">
        <f>Численность!G34</f>
        <v>492</v>
      </c>
      <c r="C33" s="1071">
        <f>Жилфонд!G36</f>
        <v>9.8000000000000007</v>
      </c>
      <c r="D33" s="1075">
        <f t="shared" si="6"/>
        <v>19.899999999999999</v>
      </c>
      <c r="E33" s="1057"/>
      <c r="F33" s="1060">
        <f>ROUND(M33/2,0)</f>
        <v>1470</v>
      </c>
      <c r="G33" s="1060">
        <f t="shared" si="9"/>
        <v>8330</v>
      </c>
      <c r="H33" s="1061">
        <f>'проект числ-сть'!L35</f>
        <v>418</v>
      </c>
      <c r="I33" s="1060">
        <f t="shared" si="4"/>
        <v>8778</v>
      </c>
      <c r="J33" s="1060">
        <f t="shared" si="10"/>
        <v>448</v>
      </c>
      <c r="K33" s="1060">
        <f t="shared" si="15"/>
        <v>0</v>
      </c>
      <c r="L33" s="1097"/>
      <c r="M33" s="1069">
        <f t="shared" si="11"/>
        <v>2940</v>
      </c>
      <c r="N33" s="1065">
        <f>C33*1000-M33</f>
        <v>6860</v>
      </c>
      <c r="O33" s="1065">
        <f>'проект числ-сть'!M35</f>
        <v>355</v>
      </c>
      <c r="P33" s="1069">
        <f t="shared" si="5"/>
        <v>8520</v>
      </c>
      <c r="Q33" s="1069">
        <f t="shared" si="12"/>
        <v>1660</v>
      </c>
      <c r="R33" s="1060">
        <f t="shared" si="13"/>
        <v>0</v>
      </c>
    </row>
    <row r="34" spans="1:39" ht="15.75">
      <c r="A34" s="1083" t="s">
        <v>279</v>
      </c>
      <c r="B34" s="1065">
        <f>Численность!G35</f>
        <v>134</v>
      </c>
      <c r="C34" s="1071">
        <f>Жилфонд!G37</f>
        <v>3.4</v>
      </c>
      <c r="D34" s="1075">
        <f t="shared" si="6"/>
        <v>25.4</v>
      </c>
      <c r="E34" s="1057"/>
      <c r="F34" s="1060">
        <f>ROUND(M34/2,0)</f>
        <v>510</v>
      </c>
      <c r="G34" s="1060">
        <f t="shared" si="9"/>
        <v>2890</v>
      </c>
      <c r="H34" s="1061">
        <f>'проект числ-сть'!L36</f>
        <v>84</v>
      </c>
      <c r="I34" s="1060">
        <f t="shared" si="4"/>
        <v>1764</v>
      </c>
      <c r="J34" s="1060">
        <f t="shared" si="10"/>
        <v>0</v>
      </c>
      <c r="K34" s="1060">
        <f t="shared" si="15"/>
        <v>1126</v>
      </c>
      <c r="L34" s="1097"/>
      <c r="M34" s="1069">
        <f t="shared" si="11"/>
        <v>1020</v>
      </c>
      <c r="N34" s="1065">
        <f>C34*1000-M34</f>
        <v>2380</v>
      </c>
      <c r="O34" s="1065">
        <f>'проект числ-сть'!M36</f>
        <v>34</v>
      </c>
      <c r="P34" s="1069">
        <f t="shared" si="5"/>
        <v>816</v>
      </c>
      <c r="Q34" s="1069">
        <f t="shared" si="12"/>
        <v>0</v>
      </c>
      <c r="R34" s="1060">
        <f t="shared" si="13"/>
        <v>1564</v>
      </c>
    </row>
    <row r="35" spans="1:39" ht="15.75">
      <c r="A35" s="1083" t="s">
        <v>280</v>
      </c>
      <c r="B35" s="1065">
        <f>Численность!G36</f>
        <v>134</v>
      </c>
      <c r="C35" s="1071">
        <f>Жилфонд!G38</f>
        <v>2.2999999999999998</v>
      </c>
      <c r="D35" s="1075">
        <f t="shared" si="6"/>
        <v>17.2</v>
      </c>
      <c r="E35" s="1057"/>
      <c r="F35" s="1060">
        <f>ROUND(M35/2,0)</f>
        <v>345</v>
      </c>
      <c r="G35" s="1060">
        <f t="shared" si="9"/>
        <v>1955</v>
      </c>
      <c r="H35" s="1061">
        <f>'проект числ-сть'!L37</f>
        <v>67</v>
      </c>
      <c r="I35" s="1060">
        <f t="shared" si="4"/>
        <v>1407</v>
      </c>
      <c r="J35" s="1060">
        <f t="shared" si="10"/>
        <v>0</v>
      </c>
      <c r="K35" s="1060">
        <f t="shared" si="15"/>
        <v>548</v>
      </c>
      <c r="L35" s="1097"/>
      <c r="M35" s="1069">
        <f t="shared" si="11"/>
        <v>690</v>
      </c>
      <c r="N35" s="1065">
        <f>C35*1000-M35</f>
        <v>1610</v>
      </c>
      <c r="O35" s="1065">
        <f>'проект числ-сть'!M37</f>
        <v>45</v>
      </c>
      <c r="P35" s="1069">
        <f t="shared" si="5"/>
        <v>1080</v>
      </c>
      <c r="Q35" s="1069">
        <f t="shared" si="12"/>
        <v>0</v>
      </c>
      <c r="R35" s="1060">
        <f t="shared" si="13"/>
        <v>530</v>
      </c>
    </row>
    <row r="36" spans="1:39" ht="15.75">
      <c r="A36" s="1083" t="s">
        <v>281</v>
      </c>
      <c r="B36" s="1065">
        <f>Численность!G37</f>
        <v>21</v>
      </c>
      <c r="C36" s="1071">
        <f>Жилфонд!G39</f>
        <v>0.57999999999999996</v>
      </c>
      <c r="D36" s="1075">
        <f t="shared" si="6"/>
        <v>27.6</v>
      </c>
      <c r="E36" s="1057"/>
      <c r="F36" s="1060">
        <f>ROUND(M36/2,0)</f>
        <v>87</v>
      </c>
      <c r="G36" s="1060">
        <f t="shared" si="9"/>
        <v>493</v>
      </c>
      <c r="H36" s="1061">
        <f>'проект числ-сть'!L38</f>
        <v>15</v>
      </c>
      <c r="I36" s="1060">
        <f t="shared" si="4"/>
        <v>315</v>
      </c>
      <c r="J36" s="1060">
        <f t="shared" si="10"/>
        <v>0</v>
      </c>
      <c r="K36" s="1060">
        <f t="shared" si="15"/>
        <v>178</v>
      </c>
      <c r="L36" s="1097"/>
      <c r="M36" s="1069">
        <f t="shared" si="11"/>
        <v>174</v>
      </c>
      <c r="N36" s="1065">
        <f>C36*1000-M36</f>
        <v>406</v>
      </c>
      <c r="O36" s="1065">
        <f>'проект числ-сть'!M38</f>
        <v>0</v>
      </c>
      <c r="P36" s="1069">
        <f t="shared" si="5"/>
        <v>0</v>
      </c>
      <c r="Q36" s="1069">
        <f t="shared" si="12"/>
        <v>0</v>
      </c>
      <c r="R36" s="1060">
        <f t="shared" si="13"/>
        <v>406</v>
      </c>
    </row>
    <row r="37" spans="1:39" s="25" customFormat="1" ht="15.75">
      <c r="A37" s="1083" t="s">
        <v>282</v>
      </c>
      <c r="B37" s="1065">
        <f>Численность!G38</f>
        <v>152</v>
      </c>
      <c r="C37" s="1071">
        <f>Жилфонд!G40</f>
        <v>4</v>
      </c>
      <c r="D37" s="1075">
        <f t="shared" si="6"/>
        <v>26.3</v>
      </c>
      <c r="E37" s="1057"/>
      <c r="F37" s="1060">
        <f>ROUND(M37/2,0)</f>
        <v>600</v>
      </c>
      <c r="G37" s="1060">
        <f t="shared" si="9"/>
        <v>3400</v>
      </c>
      <c r="H37" s="1061">
        <f>'проект числ-сть'!L39</f>
        <v>120</v>
      </c>
      <c r="I37" s="1060">
        <f t="shared" si="4"/>
        <v>2520</v>
      </c>
      <c r="J37" s="1060">
        <f t="shared" si="10"/>
        <v>0</v>
      </c>
      <c r="K37" s="1060">
        <f t="shared" si="15"/>
        <v>880</v>
      </c>
      <c r="L37" s="1097"/>
      <c r="M37" s="1069">
        <f t="shared" si="11"/>
        <v>1200</v>
      </c>
      <c r="N37" s="1065">
        <f>C37*1000-M37</f>
        <v>2800</v>
      </c>
      <c r="O37" s="1065">
        <f>'проект числ-сть'!M39</f>
        <v>90</v>
      </c>
      <c r="P37" s="1069">
        <f t="shared" si="5"/>
        <v>2160</v>
      </c>
      <c r="Q37" s="1069">
        <f t="shared" si="12"/>
        <v>0</v>
      </c>
      <c r="R37" s="1060">
        <f t="shared" si="13"/>
        <v>640</v>
      </c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2"/>
      <c r="AJ37" s="152"/>
      <c r="AK37" s="152"/>
      <c r="AL37" s="152"/>
      <c r="AM37" s="152"/>
    </row>
    <row r="38" spans="1:39" s="152" customFormat="1" ht="15.75">
      <c r="A38" s="1082" t="s">
        <v>283</v>
      </c>
      <c r="B38" s="1066">
        <f>SUM(B39:B42)</f>
        <v>1044</v>
      </c>
      <c r="C38" s="1072">
        <f>SUM(C39:C42)</f>
        <v>17.2</v>
      </c>
      <c r="D38" s="1076">
        <f t="shared" si="6"/>
        <v>16.5</v>
      </c>
      <c r="E38" s="1058"/>
      <c r="F38" s="1062">
        <f t="shared" ref="F38:K38" si="34">SUM(F39:F42)</f>
        <v>2550</v>
      </c>
      <c r="G38" s="1062">
        <f t="shared" si="34"/>
        <v>14650</v>
      </c>
      <c r="H38" s="1062">
        <f t="shared" si="34"/>
        <v>884</v>
      </c>
      <c r="I38" s="1062">
        <f t="shared" si="34"/>
        <v>18564</v>
      </c>
      <c r="J38" s="1062">
        <f t="shared" si="34"/>
        <v>4084</v>
      </c>
      <c r="K38" s="1062">
        <f t="shared" si="34"/>
        <v>170</v>
      </c>
      <c r="L38" s="1097"/>
      <c r="M38" s="1062">
        <f t="shared" ref="M38:Q38" si="35">SUM(M39:M42)</f>
        <v>5160</v>
      </c>
      <c r="N38" s="1062">
        <f t="shared" si="35"/>
        <v>12040</v>
      </c>
      <c r="O38" s="1062">
        <f t="shared" si="35"/>
        <v>723</v>
      </c>
      <c r="P38" s="1062">
        <f t="shared" si="35"/>
        <v>17352</v>
      </c>
      <c r="Q38" s="1062">
        <f t="shared" si="35"/>
        <v>5452</v>
      </c>
      <c r="R38" s="1062">
        <f>SUM(R39:R42)</f>
        <v>140</v>
      </c>
    </row>
    <row r="39" spans="1:39" ht="15.75">
      <c r="A39" s="1083" t="s">
        <v>284</v>
      </c>
      <c r="B39" s="1065">
        <f>Численность!G40</f>
        <v>678</v>
      </c>
      <c r="C39" s="1071">
        <f>Жилфонд!G42</f>
        <v>11.5</v>
      </c>
      <c r="D39" s="1075">
        <f t="shared" si="6"/>
        <v>17</v>
      </c>
      <c r="E39" s="1057"/>
      <c r="F39" s="1060">
        <f>ROUND(M39/2,0)</f>
        <v>1725</v>
      </c>
      <c r="G39" s="1060">
        <f t="shared" si="9"/>
        <v>9775</v>
      </c>
      <c r="H39" s="1061">
        <f>'проект числ-сть'!L41</f>
        <v>576</v>
      </c>
      <c r="I39" s="1060">
        <f t="shared" si="4"/>
        <v>12096</v>
      </c>
      <c r="J39" s="1060">
        <f t="shared" si="10"/>
        <v>2321</v>
      </c>
      <c r="K39" s="1060">
        <f t="shared" si="15"/>
        <v>0</v>
      </c>
      <c r="L39" s="1097"/>
      <c r="M39" s="1069">
        <f t="shared" si="11"/>
        <v>3450</v>
      </c>
      <c r="N39" s="1065">
        <f>C39*1000-M39</f>
        <v>8050</v>
      </c>
      <c r="O39" s="1065">
        <f>'проект числ-сть'!M41</f>
        <v>475</v>
      </c>
      <c r="P39" s="1069">
        <f t="shared" si="5"/>
        <v>11400</v>
      </c>
      <c r="Q39" s="1069">
        <f t="shared" si="12"/>
        <v>3350</v>
      </c>
      <c r="R39" s="1060">
        <f t="shared" si="13"/>
        <v>0</v>
      </c>
    </row>
    <row r="40" spans="1:39" s="25" customFormat="1" ht="15.75">
      <c r="A40" s="1083" t="s">
        <v>285</v>
      </c>
      <c r="B40" s="1065">
        <f>Численность!G41</f>
        <v>291</v>
      </c>
      <c r="C40" s="1071">
        <f>Жилфонд!G43</f>
        <v>4.2</v>
      </c>
      <c r="D40" s="1075">
        <f t="shared" si="6"/>
        <v>14.4</v>
      </c>
      <c r="E40" s="1057"/>
      <c r="F40" s="1060">
        <f>ROUND(M40/2,0)</f>
        <v>630</v>
      </c>
      <c r="G40" s="1060">
        <f t="shared" si="9"/>
        <v>3570</v>
      </c>
      <c r="H40" s="1061">
        <f>'проект числ-сть'!L42</f>
        <v>247</v>
      </c>
      <c r="I40" s="1060">
        <f t="shared" si="4"/>
        <v>5187</v>
      </c>
      <c r="J40" s="1060">
        <f t="shared" si="10"/>
        <v>1617</v>
      </c>
      <c r="K40" s="1060">
        <f t="shared" si="15"/>
        <v>0</v>
      </c>
      <c r="L40" s="1097"/>
      <c r="M40" s="1069">
        <f t="shared" si="11"/>
        <v>1260</v>
      </c>
      <c r="N40" s="1065">
        <f>C40*1000-M40</f>
        <v>2940</v>
      </c>
      <c r="O40" s="1065">
        <f>'проект числ-сть'!M42</f>
        <v>204</v>
      </c>
      <c r="P40" s="1069">
        <f t="shared" si="5"/>
        <v>4896</v>
      </c>
      <c r="Q40" s="1069">
        <f t="shared" si="12"/>
        <v>1956</v>
      </c>
      <c r="R40" s="1060">
        <f t="shared" si="13"/>
        <v>0</v>
      </c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2"/>
      <c r="AK40" s="152"/>
      <c r="AL40" s="152"/>
      <c r="AM40" s="152"/>
    </row>
    <row r="41" spans="1:39" ht="15.75">
      <c r="A41" s="1083" t="s">
        <v>286</v>
      </c>
      <c r="B41" s="1065">
        <f>Численность!G42</f>
        <v>73</v>
      </c>
      <c r="C41" s="1071">
        <f>Жилфонд!G44</f>
        <v>1.3</v>
      </c>
      <c r="D41" s="1075">
        <f t="shared" si="6"/>
        <v>17.8</v>
      </c>
      <c r="E41" s="1057"/>
      <c r="F41" s="1060">
        <v>165</v>
      </c>
      <c r="G41" s="1060">
        <f t="shared" si="9"/>
        <v>1135</v>
      </c>
      <c r="H41" s="1061">
        <f>'проект числ-сть'!L43</f>
        <v>61</v>
      </c>
      <c r="I41" s="1060">
        <f t="shared" si="4"/>
        <v>1281</v>
      </c>
      <c r="J41" s="1060">
        <f t="shared" si="10"/>
        <v>146</v>
      </c>
      <c r="K41" s="1060">
        <f t="shared" si="15"/>
        <v>0</v>
      </c>
      <c r="L41" s="1097"/>
      <c r="M41" s="1069">
        <f t="shared" si="11"/>
        <v>390</v>
      </c>
      <c r="N41" s="1065">
        <f>C41*1000-M41</f>
        <v>910</v>
      </c>
      <c r="O41" s="1065">
        <f>'проект числ-сть'!M43</f>
        <v>44</v>
      </c>
      <c r="P41" s="1069">
        <f t="shared" si="5"/>
        <v>1056</v>
      </c>
      <c r="Q41" s="1069">
        <f t="shared" si="12"/>
        <v>146</v>
      </c>
      <c r="R41" s="1060">
        <f t="shared" si="13"/>
        <v>0</v>
      </c>
    </row>
    <row r="42" spans="1:39" ht="15.75">
      <c r="A42" s="1083" t="s">
        <v>287</v>
      </c>
      <c r="B42" s="1065">
        <f>Численность!G43</f>
        <v>2</v>
      </c>
      <c r="C42" s="1071">
        <f>Жилфонд!G45</f>
        <v>0.2</v>
      </c>
      <c r="D42" s="1075">
        <f t="shared" si="6"/>
        <v>100</v>
      </c>
      <c r="E42" s="1057"/>
      <c r="F42" s="1060">
        <f>ROUND(M42/2,0)</f>
        <v>30</v>
      </c>
      <c r="G42" s="1060">
        <f t="shared" si="9"/>
        <v>170</v>
      </c>
      <c r="H42" s="1061">
        <f>'проект числ-сть'!L44</f>
        <v>0</v>
      </c>
      <c r="I42" s="1060">
        <f t="shared" si="4"/>
        <v>0</v>
      </c>
      <c r="J42" s="1060">
        <f t="shared" si="10"/>
        <v>0</v>
      </c>
      <c r="K42" s="1060">
        <f t="shared" si="15"/>
        <v>170</v>
      </c>
      <c r="L42" s="1097"/>
      <c r="M42" s="1069">
        <f t="shared" si="11"/>
        <v>60</v>
      </c>
      <c r="N42" s="1065">
        <f>C42*1000-M42</f>
        <v>140</v>
      </c>
      <c r="O42" s="1065">
        <f>'проект числ-сть'!M44</f>
        <v>0</v>
      </c>
      <c r="P42" s="1069">
        <f t="shared" si="5"/>
        <v>0</v>
      </c>
      <c r="Q42" s="1069">
        <f t="shared" si="12"/>
        <v>0</v>
      </c>
      <c r="R42" s="1060">
        <f t="shared" si="13"/>
        <v>140</v>
      </c>
      <c r="S42" s="18"/>
    </row>
    <row r="43" spans="1:39" s="73" customFormat="1" ht="15.75">
      <c r="A43" s="1082" t="s">
        <v>288</v>
      </c>
      <c r="B43" s="1066">
        <f>SUM(B44:B46)</f>
        <v>1050</v>
      </c>
      <c r="C43" s="1072">
        <f>SUM(C44:C46)</f>
        <v>17.290000000000003</v>
      </c>
      <c r="D43" s="1076">
        <f t="shared" si="6"/>
        <v>16.5</v>
      </c>
      <c r="E43" s="1058"/>
      <c r="F43" s="1062">
        <f t="shared" ref="F43:K43" si="36">SUM(F44:F46)</f>
        <v>2534</v>
      </c>
      <c r="G43" s="1062">
        <f t="shared" si="36"/>
        <v>14756.000000000002</v>
      </c>
      <c r="H43" s="1062">
        <f t="shared" si="36"/>
        <v>883</v>
      </c>
      <c r="I43" s="1062">
        <f t="shared" si="36"/>
        <v>18543</v>
      </c>
      <c r="J43" s="1062">
        <f t="shared" si="36"/>
        <v>3786.9999999999982</v>
      </c>
      <c r="K43" s="1062">
        <f t="shared" si="36"/>
        <v>0</v>
      </c>
      <c r="L43" s="1097"/>
      <c r="M43" s="1062">
        <f t="shared" ref="M43:Q43" si="37">SUM(M44:M46)</f>
        <v>5187</v>
      </c>
      <c r="N43" s="1062">
        <f t="shared" si="37"/>
        <v>12103.000000000002</v>
      </c>
      <c r="O43" s="1062">
        <f t="shared" si="37"/>
        <v>716</v>
      </c>
      <c r="P43" s="1062">
        <f t="shared" si="37"/>
        <v>17184</v>
      </c>
      <c r="Q43" s="1062">
        <f t="shared" si="37"/>
        <v>5080.9999999999982</v>
      </c>
      <c r="R43" s="1062">
        <f>SUM(R44:R46)</f>
        <v>0</v>
      </c>
      <c r="S43" s="1056"/>
      <c r="T43" s="1055"/>
      <c r="U43" s="1055"/>
      <c r="V43" s="1055"/>
      <c r="W43" s="1055"/>
      <c r="X43" s="1055"/>
      <c r="Y43" s="1055"/>
      <c r="Z43" s="1055"/>
      <c r="AA43" s="1055"/>
      <c r="AB43" s="1055"/>
      <c r="AC43" s="1055"/>
      <c r="AD43" s="1055"/>
      <c r="AE43" s="1055"/>
      <c r="AF43" s="1055"/>
      <c r="AG43" s="1055"/>
      <c r="AH43" s="1055"/>
      <c r="AI43" s="1055"/>
      <c r="AJ43" s="1055"/>
      <c r="AK43" s="1055"/>
      <c r="AL43" s="1055"/>
      <c r="AM43" s="1055"/>
    </row>
    <row r="44" spans="1:39" ht="15.75">
      <c r="A44" s="1083" t="s">
        <v>289</v>
      </c>
      <c r="B44" s="1065">
        <f>Численность!G45</f>
        <v>808</v>
      </c>
      <c r="C44" s="1071">
        <f>Жилфонд!G47</f>
        <v>13.600000000000001</v>
      </c>
      <c r="D44" s="1075">
        <f t="shared" si="6"/>
        <v>16.8</v>
      </c>
      <c r="E44" s="1057"/>
      <c r="F44" s="1060">
        <f>ROUND(M44/2,0)</f>
        <v>2040</v>
      </c>
      <c r="G44" s="1060">
        <f t="shared" si="9"/>
        <v>11560.000000000002</v>
      </c>
      <c r="H44" s="1061">
        <f>'проект числ-сть'!L46</f>
        <v>687</v>
      </c>
      <c r="I44" s="1060">
        <f t="shared" si="4"/>
        <v>14427</v>
      </c>
      <c r="J44" s="1060">
        <f t="shared" si="10"/>
        <v>2866.9999999999982</v>
      </c>
      <c r="K44" s="1060">
        <f t="shared" si="15"/>
        <v>0</v>
      </c>
      <c r="L44" s="1097"/>
      <c r="M44" s="1069">
        <f t="shared" si="11"/>
        <v>4080</v>
      </c>
      <c r="N44" s="1065">
        <f>C44*1000-M44</f>
        <v>9520.0000000000018</v>
      </c>
      <c r="O44" s="1065">
        <f>'проект числ-сть'!M46</f>
        <v>566</v>
      </c>
      <c r="P44" s="1069">
        <f t="shared" si="5"/>
        <v>13584</v>
      </c>
      <c r="Q44" s="1069">
        <f t="shared" si="12"/>
        <v>4063.9999999999982</v>
      </c>
      <c r="R44" s="1060">
        <f t="shared" si="13"/>
        <v>0</v>
      </c>
      <c r="S44" s="18"/>
    </row>
    <row r="45" spans="1:39" ht="15.75">
      <c r="A45" s="1083" t="s">
        <v>290</v>
      </c>
      <c r="B45" s="1065">
        <f>Численность!G46</f>
        <v>59</v>
      </c>
      <c r="C45" s="1071">
        <f>Жилфонд!G48</f>
        <v>1.0900000000000001</v>
      </c>
      <c r="D45" s="1075">
        <f t="shared" si="6"/>
        <v>18.5</v>
      </c>
      <c r="E45" s="1057"/>
      <c r="F45" s="1060">
        <f>ROUND(M45/2,0)</f>
        <v>164</v>
      </c>
      <c r="G45" s="1060">
        <f t="shared" si="9"/>
        <v>926</v>
      </c>
      <c r="H45" s="1061">
        <f>'проект числ-сть'!L47</f>
        <v>50</v>
      </c>
      <c r="I45" s="1060">
        <f t="shared" si="4"/>
        <v>1050</v>
      </c>
      <c r="J45" s="1060">
        <f t="shared" si="10"/>
        <v>124</v>
      </c>
      <c r="K45" s="1060">
        <f t="shared" si="15"/>
        <v>0</v>
      </c>
      <c r="L45" s="1097"/>
      <c r="M45" s="1069">
        <f t="shared" si="11"/>
        <v>327</v>
      </c>
      <c r="N45" s="1065">
        <f>C45*1000-M45</f>
        <v>763</v>
      </c>
      <c r="O45" s="1065">
        <f>'проект числ-сть'!M47</f>
        <v>41</v>
      </c>
      <c r="P45" s="1069">
        <f t="shared" si="5"/>
        <v>984</v>
      </c>
      <c r="Q45" s="1069">
        <f t="shared" si="12"/>
        <v>221</v>
      </c>
      <c r="R45" s="1060">
        <f t="shared" si="13"/>
        <v>0</v>
      </c>
      <c r="S45" s="18"/>
    </row>
    <row r="46" spans="1:39" s="79" customFormat="1" ht="15.75">
      <c r="A46" s="1083" t="s">
        <v>291</v>
      </c>
      <c r="B46" s="1065">
        <f>Численность!G47</f>
        <v>183</v>
      </c>
      <c r="C46" s="1071">
        <f>Жилфонд!G49</f>
        <v>2.6</v>
      </c>
      <c r="D46" s="1075">
        <f t="shared" si="6"/>
        <v>14.2</v>
      </c>
      <c r="E46" s="1057"/>
      <c r="F46" s="1060">
        <v>330</v>
      </c>
      <c r="G46" s="1060">
        <f t="shared" si="9"/>
        <v>2270</v>
      </c>
      <c r="H46" s="1061">
        <f>'проект числ-сть'!L48</f>
        <v>146</v>
      </c>
      <c r="I46" s="1060">
        <f t="shared" si="4"/>
        <v>3066</v>
      </c>
      <c r="J46" s="1060">
        <f t="shared" si="10"/>
        <v>796</v>
      </c>
      <c r="K46" s="1060">
        <f t="shared" si="15"/>
        <v>0</v>
      </c>
      <c r="L46" s="1097"/>
      <c r="M46" s="1069">
        <f t="shared" si="11"/>
        <v>780</v>
      </c>
      <c r="N46" s="1065">
        <f>C46*1000-M46</f>
        <v>1820</v>
      </c>
      <c r="O46" s="1065">
        <f>'проект числ-сть'!M48</f>
        <v>109</v>
      </c>
      <c r="P46" s="1069">
        <f t="shared" si="5"/>
        <v>2616</v>
      </c>
      <c r="Q46" s="1069">
        <f t="shared" si="12"/>
        <v>796</v>
      </c>
      <c r="R46" s="1060">
        <f t="shared" si="13"/>
        <v>0</v>
      </c>
      <c r="S46" s="18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</row>
    <row r="47" spans="1:39" s="152" customFormat="1" ht="15.75">
      <c r="A47" s="1082" t="s">
        <v>292</v>
      </c>
      <c r="B47" s="1066">
        <f>SUM(B48:B51)</f>
        <v>1178</v>
      </c>
      <c r="C47" s="1072">
        <f>SUM(C48:C51)</f>
        <v>33.5</v>
      </c>
      <c r="D47" s="1076">
        <f t="shared" si="6"/>
        <v>28.4</v>
      </c>
      <c r="E47" s="1058"/>
      <c r="F47" s="1062">
        <f t="shared" ref="F47:K47" si="38">SUM(F48:F51)</f>
        <v>5025</v>
      </c>
      <c r="G47" s="1062">
        <f t="shared" si="38"/>
        <v>28475</v>
      </c>
      <c r="H47" s="1062">
        <f t="shared" si="38"/>
        <v>1089</v>
      </c>
      <c r="I47" s="1062">
        <f t="shared" si="38"/>
        <v>22869</v>
      </c>
      <c r="J47" s="1062">
        <f t="shared" si="38"/>
        <v>0</v>
      </c>
      <c r="K47" s="1062">
        <f t="shared" si="38"/>
        <v>5606.0000000000009</v>
      </c>
      <c r="L47" s="1097"/>
      <c r="M47" s="1062">
        <f t="shared" ref="M47:Q47" si="39">SUM(M48:M51)</f>
        <v>10050</v>
      </c>
      <c r="N47" s="1062">
        <f t="shared" si="39"/>
        <v>23450</v>
      </c>
      <c r="O47" s="1062">
        <f t="shared" si="39"/>
        <v>997</v>
      </c>
      <c r="P47" s="1062">
        <f t="shared" si="39"/>
        <v>23928</v>
      </c>
      <c r="Q47" s="1062">
        <f t="shared" si="39"/>
        <v>3510</v>
      </c>
      <c r="R47" s="1062">
        <f>SUM(R48:R51)</f>
        <v>3032.0000000000009</v>
      </c>
      <c r="S47" s="429"/>
    </row>
    <row r="48" spans="1:39" ht="15.75">
      <c r="A48" s="1083" t="s">
        <v>293</v>
      </c>
      <c r="B48" s="1065">
        <f>Численность!G49</f>
        <v>526</v>
      </c>
      <c r="C48" s="1071">
        <f>Жилфонд!G51</f>
        <v>15.9</v>
      </c>
      <c r="D48" s="1075">
        <f t="shared" si="6"/>
        <v>30.2</v>
      </c>
      <c r="E48" s="1057"/>
      <c r="F48" s="1060">
        <f>ROUND(M48/2,0)</f>
        <v>2385</v>
      </c>
      <c r="G48" s="1060">
        <f t="shared" si="9"/>
        <v>13515</v>
      </c>
      <c r="H48" s="1061">
        <f>'проект числ-сть'!L50</f>
        <v>570</v>
      </c>
      <c r="I48" s="1060">
        <f t="shared" si="4"/>
        <v>11970</v>
      </c>
      <c r="J48" s="1060">
        <f t="shared" si="10"/>
        <v>0</v>
      </c>
      <c r="K48" s="1060">
        <f t="shared" si="15"/>
        <v>1545</v>
      </c>
      <c r="L48" s="1097"/>
      <c r="M48" s="1069">
        <f t="shared" si="11"/>
        <v>4770</v>
      </c>
      <c r="N48" s="1065">
        <f>C48*1000-M48</f>
        <v>11130</v>
      </c>
      <c r="O48" s="1065">
        <f>'проект числ-сть'!M50</f>
        <v>610</v>
      </c>
      <c r="P48" s="1069">
        <f t="shared" si="5"/>
        <v>14640</v>
      </c>
      <c r="Q48" s="1069">
        <f t="shared" si="12"/>
        <v>3510</v>
      </c>
      <c r="R48" s="1060">
        <f t="shared" si="13"/>
        <v>0</v>
      </c>
    </row>
    <row r="49" spans="1:18" ht="15.75">
      <c r="A49" s="1083" t="s">
        <v>294</v>
      </c>
      <c r="B49" s="1065">
        <f>Численность!G50</f>
        <v>44</v>
      </c>
      <c r="C49" s="1071">
        <f>Жилфонд!G52</f>
        <v>3.2</v>
      </c>
      <c r="D49" s="1075">
        <f t="shared" si="6"/>
        <v>72.7</v>
      </c>
      <c r="E49" s="1057"/>
      <c r="F49" s="1060">
        <f>ROUND(M49/2,0)</f>
        <v>480</v>
      </c>
      <c r="G49" s="1060">
        <f t="shared" si="9"/>
        <v>2720</v>
      </c>
      <c r="H49" s="1061">
        <f>'проект числ-сть'!L51</f>
        <v>34</v>
      </c>
      <c r="I49" s="1060">
        <f t="shared" si="4"/>
        <v>714</v>
      </c>
      <c r="J49" s="1060">
        <f t="shared" si="10"/>
        <v>0</v>
      </c>
      <c r="K49" s="1060">
        <f t="shared" si="15"/>
        <v>2006</v>
      </c>
      <c r="L49" s="1097"/>
      <c r="M49" s="1069">
        <f t="shared" si="11"/>
        <v>960</v>
      </c>
      <c r="N49" s="1065">
        <f>C49*1000-M49</f>
        <v>2240</v>
      </c>
      <c r="O49" s="1065">
        <f>'проект числ-сть'!M51</f>
        <v>23</v>
      </c>
      <c r="P49" s="1069">
        <f t="shared" si="5"/>
        <v>552</v>
      </c>
      <c r="Q49" s="1069">
        <f t="shared" si="12"/>
        <v>0</v>
      </c>
      <c r="R49" s="1060">
        <f t="shared" si="13"/>
        <v>1688</v>
      </c>
    </row>
    <row r="50" spans="1:18" ht="15.75">
      <c r="A50" s="1083" t="s">
        <v>295</v>
      </c>
      <c r="B50" s="1065">
        <f>Численность!G51</f>
        <v>331</v>
      </c>
      <c r="C50" s="1071">
        <f>Жилфонд!G53</f>
        <v>7.1000000000000005</v>
      </c>
      <c r="D50" s="1075">
        <f t="shared" si="6"/>
        <v>21.5</v>
      </c>
      <c r="E50" s="1057"/>
      <c r="F50" s="1060">
        <f>ROUND(M50/2,0)</f>
        <v>1065</v>
      </c>
      <c r="G50" s="1060">
        <f t="shared" si="9"/>
        <v>6035.0000000000009</v>
      </c>
      <c r="H50" s="1061">
        <f>'проект числ-сть'!L52</f>
        <v>264</v>
      </c>
      <c r="I50" s="1060">
        <f t="shared" si="4"/>
        <v>5544</v>
      </c>
      <c r="J50" s="1060">
        <f t="shared" si="10"/>
        <v>0</v>
      </c>
      <c r="K50" s="1060">
        <f t="shared" si="15"/>
        <v>491.00000000000091</v>
      </c>
      <c r="L50" s="1097"/>
      <c r="M50" s="1069">
        <f t="shared" si="11"/>
        <v>2130</v>
      </c>
      <c r="N50" s="1065">
        <f>C50*1000-M50</f>
        <v>4970.0000000000009</v>
      </c>
      <c r="O50" s="1065">
        <f>'проект числ-сть'!M52</f>
        <v>198</v>
      </c>
      <c r="P50" s="1069">
        <f t="shared" si="5"/>
        <v>4752</v>
      </c>
      <c r="Q50" s="1069">
        <f t="shared" si="12"/>
        <v>0</v>
      </c>
      <c r="R50" s="1060">
        <f t="shared" si="13"/>
        <v>218.00000000000091</v>
      </c>
    </row>
    <row r="51" spans="1:18" ht="15.75">
      <c r="A51" s="1083" t="s">
        <v>296</v>
      </c>
      <c r="B51" s="1065">
        <f>Численность!G52</f>
        <v>277</v>
      </c>
      <c r="C51" s="1071">
        <f>Жилфонд!G54</f>
        <v>7.3</v>
      </c>
      <c r="D51" s="1075">
        <f t="shared" si="6"/>
        <v>26.4</v>
      </c>
      <c r="E51" s="1057"/>
      <c r="F51" s="1060">
        <f>ROUND(M51/2,0)</f>
        <v>1095</v>
      </c>
      <c r="G51" s="1060">
        <f t="shared" si="9"/>
        <v>6205</v>
      </c>
      <c r="H51" s="1061">
        <f>'проект числ-сть'!L53</f>
        <v>221</v>
      </c>
      <c r="I51" s="1060">
        <f>H51*21</f>
        <v>4641</v>
      </c>
      <c r="J51" s="1060">
        <f t="shared" si="10"/>
        <v>0</v>
      </c>
      <c r="K51" s="1060">
        <f t="shared" si="15"/>
        <v>1564</v>
      </c>
      <c r="L51" s="1097"/>
      <c r="M51" s="1069">
        <f t="shared" si="11"/>
        <v>2190</v>
      </c>
      <c r="N51" s="1065">
        <f>C51*1000-M51</f>
        <v>5110</v>
      </c>
      <c r="O51" s="1065">
        <f>'проект числ-сть'!M53</f>
        <v>166</v>
      </c>
      <c r="P51" s="1069">
        <f t="shared" si="5"/>
        <v>3984</v>
      </c>
      <c r="Q51" s="1069">
        <f t="shared" si="12"/>
        <v>0</v>
      </c>
      <c r="R51" s="1060">
        <f t="shared" si="13"/>
        <v>1126</v>
      </c>
    </row>
    <row r="52" spans="1:18" s="152" customFormat="1" ht="24" customHeight="1">
      <c r="A52" s="1089" t="s">
        <v>874</v>
      </c>
      <c r="B52" s="1067">
        <f>B2+B4+B9+B12+B16+B19+B22+B26+B32+B38+B43+B47</f>
        <v>18951</v>
      </c>
      <c r="C52" s="1073">
        <f>C2+C4+C9+C12+C16+C19+C22+C26+C32+C38+C43+C47</f>
        <v>380.28599999999994</v>
      </c>
      <c r="D52" s="1077">
        <f>ROUND(C52*1000/B52,2)</f>
        <v>20.07</v>
      </c>
      <c r="E52" s="1058"/>
      <c r="F52" s="1063">
        <f>ROUND(M52/2,0)</f>
        <v>57043</v>
      </c>
      <c r="G52" s="1064">
        <f>G2+G4+G9+G12+G16+G19+G22+G26+G32+G38+G43+G47</f>
        <v>328091</v>
      </c>
      <c r="H52" s="1064">
        <f>H2+H4+H9+H12+H16+H19+H22+H26+H32+H38+H43+H47</f>
        <v>16515.333333333332</v>
      </c>
      <c r="I52" s="1064">
        <f>I2+I4+I9+I12+I16+I19+I22+I26+I32+I38+I43+I47</f>
        <v>346822</v>
      </c>
      <c r="J52" s="1064">
        <f t="shared" ref="J52:K52" si="40">J2+J4+J9+J12+J16+J19+J22+J26+J32+J38+J43+J47</f>
        <v>40670</v>
      </c>
      <c r="K52" s="1064">
        <f t="shared" si="40"/>
        <v>21939</v>
      </c>
      <c r="L52" s="1097"/>
      <c r="M52" s="1067">
        <f t="shared" ref="M52:N52" si="41">M2+M4+M9+M12+M16+M19+M22+M26+M32+M38+M43+M47</f>
        <v>114085</v>
      </c>
      <c r="N52" s="1067">
        <f t="shared" si="41"/>
        <v>266201</v>
      </c>
      <c r="O52" s="1067">
        <f>O2+O4+O9+O12+O16+O19+O22+O26+O32+O38+O43+O47</f>
        <v>14100.666666666668</v>
      </c>
      <c r="P52" s="1067">
        <f t="shared" ref="P52:R52" si="42">P2+P4+P9+P12+P16+P19+P22+P26+P32+P38+P43+P47</f>
        <v>338416</v>
      </c>
      <c r="Q52" s="1067">
        <f t="shared" si="42"/>
        <v>93590</v>
      </c>
      <c r="R52" s="1067">
        <f t="shared" si="42"/>
        <v>21375</v>
      </c>
    </row>
    <row r="53" spans="1:18">
      <c r="E53" s="74"/>
      <c r="L53" s="76"/>
    </row>
    <row r="54" spans="1:18">
      <c r="E54" s="74"/>
      <c r="K54" s="1095"/>
      <c r="L54" s="76"/>
    </row>
    <row r="55" spans="1:18">
      <c r="E55" s="74"/>
      <c r="K55" s="1096">
        <f>(G52+J52)-I52</f>
        <v>21939</v>
      </c>
      <c r="L55" s="76"/>
      <c r="R55" s="1096">
        <f>(N52+Q52)-P52</f>
        <v>21375</v>
      </c>
    </row>
    <row r="56" spans="1:18">
      <c r="E56" s="74"/>
      <c r="L56" s="76"/>
    </row>
    <row r="57" spans="1:18">
      <c r="E57" s="74"/>
      <c r="L57" s="76"/>
    </row>
    <row r="58" spans="1:18">
      <c r="E58" s="74"/>
      <c r="L58" s="76"/>
    </row>
    <row r="59" spans="1:18">
      <c r="E59" s="74"/>
      <c r="L59" s="76"/>
    </row>
    <row r="60" spans="1:18">
      <c r="E60" s="74"/>
      <c r="L60" s="76"/>
    </row>
    <row r="61" spans="1:18">
      <c r="E61" s="74"/>
      <c r="L61" s="76"/>
    </row>
    <row r="62" spans="1:18">
      <c r="E62" s="74"/>
      <c r="L62" s="76"/>
    </row>
    <row r="63" spans="1:18">
      <c r="E63" s="74"/>
      <c r="L63" s="76"/>
    </row>
    <row r="64" spans="1:18">
      <c r="E64" s="74"/>
      <c r="L64" s="76"/>
    </row>
    <row r="65" spans="5:12">
      <c r="E65" s="74"/>
      <c r="L65" s="76"/>
    </row>
    <row r="66" spans="5:12">
      <c r="E66" s="74"/>
      <c r="L66" s="76"/>
    </row>
    <row r="67" spans="5:12">
      <c r="E67" s="74"/>
      <c r="L67" s="76"/>
    </row>
    <row r="68" spans="5:12">
      <c r="E68" s="74"/>
      <c r="L68" s="76"/>
    </row>
    <row r="69" spans="5:12">
      <c r="E69" s="74"/>
      <c r="L69" s="76"/>
    </row>
    <row r="70" spans="5:12">
      <c r="E70" s="74"/>
      <c r="L70" s="76"/>
    </row>
    <row r="71" spans="5:12">
      <c r="E71" s="74"/>
      <c r="L71" s="76"/>
    </row>
    <row r="72" spans="5:12">
      <c r="E72" s="74"/>
      <c r="L72" s="76"/>
    </row>
    <row r="73" spans="5:12">
      <c r="E73" s="74"/>
      <c r="L73" s="76"/>
    </row>
    <row r="74" spans="5:12">
      <c r="E74" s="74"/>
      <c r="L74" s="76"/>
    </row>
    <row r="75" spans="5:12">
      <c r="E75" s="74"/>
      <c r="L75" s="76"/>
    </row>
    <row r="76" spans="5:12">
      <c r="E76" s="74"/>
      <c r="L76" s="76"/>
    </row>
    <row r="77" spans="5:12">
      <c r="E77" s="74"/>
      <c r="L77" s="76"/>
    </row>
    <row r="78" spans="5:12">
      <c r="E78" s="74"/>
      <c r="L78" s="76"/>
    </row>
    <row r="79" spans="5:12">
      <c r="E79" s="74"/>
      <c r="L79" s="76"/>
    </row>
    <row r="80" spans="5:12">
      <c r="E80" s="74"/>
      <c r="L80" s="76"/>
    </row>
    <row r="81" spans="5:12">
      <c r="E81" s="74"/>
      <c r="L81" s="76"/>
    </row>
    <row r="82" spans="5:12">
      <c r="E82" s="74"/>
      <c r="L82" s="76"/>
    </row>
    <row r="83" spans="5:12">
      <c r="E83" s="74"/>
      <c r="L83" s="76"/>
    </row>
    <row r="84" spans="5:12">
      <c r="E84" s="74"/>
      <c r="L84" s="76"/>
    </row>
    <row r="85" spans="5:12">
      <c r="E85" s="74"/>
      <c r="L85" s="76"/>
    </row>
    <row r="86" spans="5:12">
      <c r="E86" s="74"/>
      <c r="L86" s="76"/>
    </row>
    <row r="87" spans="5:12">
      <c r="E87" s="74"/>
      <c r="L87" s="76"/>
    </row>
    <row r="88" spans="5:12">
      <c r="E88" s="74"/>
      <c r="L88" s="76"/>
    </row>
    <row r="89" spans="5:12">
      <c r="E89" s="74"/>
      <c r="L89" s="76"/>
    </row>
    <row r="90" spans="5:12">
      <c r="E90" s="74"/>
      <c r="L90" s="76"/>
    </row>
    <row r="91" spans="5:12">
      <c r="E91" s="74"/>
      <c r="L91" s="76"/>
    </row>
    <row r="92" spans="5:12">
      <c r="E92" s="74"/>
      <c r="L92" s="76"/>
    </row>
    <row r="93" spans="5:12">
      <c r="E93" s="74"/>
      <c r="L93" s="76"/>
    </row>
    <row r="94" spans="5:12">
      <c r="E94" s="74"/>
      <c r="L94" s="76"/>
    </row>
  </sheetData>
  <pageMargins left="0.43307086614173229" right="1.299212598425197" top="0.23622047244094491" bottom="0.19685039370078741" header="0.23622047244094491" footer="0.19685039370078741"/>
  <pageSetup paperSize="9" scale="81" orientation="portrait" verticalDpi="0" r:id="rId1"/>
  <rowBreaks count="1" manualBreakCount="1">
    <brk id="53" max="16383" man="1"/>
  </rowBreaks>
  <colBreaks count="1" manualBreakCount="1">
    <brk id="9" max="5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DH69"/>
  <sheetViews>
    <sheetView workbookViewId="0">
      <selection activeCell="T54" sqref="T54:AA54"/>
    </sheetView>
  </sheetViews>
  <sheetFormatPr defaultRowHeight="15"/>
  <cols>
    <col min="1" max="1" width="29.42578125" style="22" customWidth="1"/>
    <col min="2" max="2" width="20" style="22" customWidth="1"/>
    <col min="3" max="3" width="9.140625" style="22" hidden="1" customWidth="1"/>
    <col min="4" max="4" width="5.28515625" style="22" hidden="1" customWidth="1"/>
    <col min="5" max="5" width="6.42578125" style="22" hidden="1" customWidth="1"/>
    <col min="6" max="6" width="5.7109375" style="22" hidden="1" customWidth="1"/>
    <col min="7" max="7" width="5" style="22" hidden="1" customWidth="1"/>
    <col min="8" max="8" width="4.85546875" style="22" hidden="1" customWidth="1"/>
    <col min="9" max="9" width="5.42578125" style="22" hidden="1" customWidth="1"/>
    <col min="10" max="11" width="5" style="22" hidden="1" customWidth="1"/>
    <col min="12" max="12" width="7.7109375" style="22" hidden="1" customWidth="1"/>
    <col min="13" max="13" width="7.42578125" style="22" hidden="1" customWidth="1"/>
    <col min="14" max="14" width="6.5703125" style="22" hidden="1" customWidth="1"/>
    <col min="15" max="15" width="9.42578125" style="22" hidden="1" customWidth="1"/>
    <col min="16" max="16" width="6.7109375" style="22" hidden="1" customWidth="1"/>
    <col min="17" max="17" width="4.140625" style="22" hidden="1" customWidth="1"/>
    <col min="18" max="18" width="7.28515625" style="22" hidden="1" customWidth="1"/>
    <col min="19" max="19" width="6.42578125" style="22" hidden="1" customWidth="1"/>
    <col min="20" max="20" width="7.28515625" style="22" customWidth="1"/>
    <col min="21" max="21" width="5.5703125" style="22" customWidth="1"/>
    <col min="22" max="22" width="4.140625" style="22" customWidth="1"/>
    <col min="23" max="23" width="5.28515625" style="22" customWidth="1"/>
    <col min="24" max="24" width="6.42578125" style="22" customWidth="1"/>
    <col min="25" max="25" width="7.5703125" style="22" customWidth="1"/>
    <col min="26" max="26" width="7.28515625" style="22" customWidth="1"/>
    <col min="27" max="27" width="6.42578125" style="22" customWidth="1"/>
    <col min="28" max="28" width="7.7109375" style="22" customWidth="1"/>
    <col min="29" max="29" width="7.28515625" style="22" customWidth="1"/>
    <col min="30" max="30" width="9.140625" style="54"/>
    <col min="31" max="31" width="17.28515625" style="54" customWidth="1"/>
    <col min="32" max="33" width="9.140625" style="54"/>
    <col min="34" max="16384" width="9.140625" style="22"/>
  </cols>
  <sheetData>
    <row r="1" spans="1:44" ht="15.75" thickBot="1">
      <c r="C1" s="1283" t="s">
        <v>6</v>
      </c>
      <c r="D1" s="1284"/>
      <c r="E1" s="1284"/>
      <c r="F1" s="1284"/>
      <c r="G1" s="1284"/>
      <c r="H1" s="1284"/>
      <c r="I1" s="1284"/>
      <c r="J1" s="1285"/>
      <c r="K1" s="123"/>
      <c r="L1" s="123"/>
      <c r="M1" s="123"/>
      <c r="N1" s="123"/>
      <c r="O1" s="123"/>
      <c r="P1" s="123"/>
      <c r="Q1" s="123"/>
      <c r="R1" s="123"/>
      <c r="S1" s="123"/>
    </row>
    <row r="2" spans="1:44" s="359" customFormat="1" ht="62.25" customHeight="1">
      <c r="A2" s="353" t="s">
        <v>0</v>
      </c>
      <c r="B2" s="353" t="s">
        <v>2</v>
      </c>
      <c r="C2" s="354" t="s">
        <v>7</v>
      </c>
      <c r="D2" s="353" t="s">
        <v>359</v>
      </c>
      <c r="E2" s="353" t="s">
        <v>17</v>
      </c>
      <c r="F2" s="353" t="s">
        <v>8</v>
      </c>
      <c r="G2" s="353" t="s">
        <v>15</v>
      </c>
      <c r="H2" s="353" t="s">
        <v>11</v>
      </c>
      <c r="I2" s="353" t="s">
        <v>9</v>
      </c>
      <c r="J2" s="355" t="s">
        <v>167</v>
      </c>
      <c r="K2" s="355" t="s">
        <v>351</v>
      </c>
      <c r="L2" s="355" t="s">
        <v>24</v>
      </c>
      <c r="M2" s="355" t="s">
        <v>18</v>
      </c>
      <c r="N2" s="355" t="s">
        <v>401</v>
      </c>
      <c r="O2" s="356" t="s">
        <v>10</v>
      </c>
      <c r="P2" s="355" t="s">
        <v>168</v>
      </c>
      <c r="Q2" s="356" t="s">
        <v>16</v>
      </c>
      <c r="R2" s="357" t="s">
        <v>12</v>
      </c>
      <c r="S2" s="356" t="s">
        <v>19</v>
      </c>
      <c r="T2" s="353" t="s">
        <v>13</v>
      </c>
      <c r="U2" s="353" t="s">
        <v>346</v>
      </c>
      <c r="V2" s="353" t="s">
        <v>20</v>
      </c>
      <c r="W2" s="353" t="s">
        <v>21</v>
      </c>
      <c r="X2" s="353" t="s">
        <v>14</v>
      </c>
      <c r="Y2" s="353" t="s">
        <v>22</v>
      </c>
      <c r="Z2" s="353" t="s">
        <v>23</v>
      </c>
      <c r="AA2" s="353" t="s">
        <v>164</v>
      </c>
      <c r="AB2" s="353" t="s">
        <v>165</v>
      </c>
      <c r="AC2" s="386" t="s">
        <v>244</v>
      </c>
      <c r="AD2" s="386" t="s">
        <v>340</v>
      </c>
      <c r="AE2" s="358" t="s">
        <v>347</v>
      </c>
      <c r="AF2" s="358"/>
      <c r="AG2" s="358"/>
    </row>
    <row r="3" spans="1:44" ht="17.25" customHeight="1">
      <c r="A3" s="205" t="s">
        <v>302</v>
      </c>
      <c r="B3" s="205"/>
      <c r="C3" s="237">
        <f>C4</f>
        <v>1</v>
      </c>
      <c r="D3" s="237">
        <f t="shared" ref="D3:AE3" si="0">D4</f>
        <v>1</v>
      </c>
      <c r="E3" s="237">
        <f t="shared" si="0"/>
        <v>0</v>
      </c>
      <c r="F3" s="237">
        <f t="shared" si="0"/>
        <v>1</v>
      </c>
      <c r="G3" s="237">
        <f t="shared" si="0"/>
        <v>0</v>
      </c>
      <c r="H3" s="237">
        <f t="shared" si="0"/>
        <v>3</v>
      </c>
      <c r="I3" s="237">
        <f t="shared" si="0"/>
        <v>0</v>
      </c>
      <c r="J3" s="237">
        <f t="shared" si="0"/>
        <v>3</v>
      </c>
      <c r="K3" s="237">
        <f t="shared" si="0"/>
        <v>0</v>
      </c>
      <c r="L3" s="237">
        <f t="shared" si="0"/>
        <v>0</v>
      </c>
      <c r="M3" s="237">
        <f t="shared" si="0"/>
        <v>0</v>
      </c>
      <c r="N3" s="237">
        <f t="shared" si="0"/>
        <v>2</v>
      </c>
      <c r="O3" s="237">
        <f t="shared" si="0"/>
        <v>1</v>
      </c>
      <c r="P3" s="237">
        <f t="shared" si="0"/>
        <v>0</v>
      </c>
      <c r="Q3" s="237">
        <f t="shared" si="0"/>
        <v>0</v>
      </c>
      <c r="R3" s="237">
        <f t="shared" si="0"/>
        <v>0</v>
      </c>
      <c r="S3" s="237">
        <f t="shared" si="0"/>
        <v>3</v>
      </c>
      <c r="T3" s="237">
        <f t="shared" si="0"/>
        <v>1</v>
      </c>
      <c r="U3" s="237">
        <f t="shared" si="0"/>
        <v>1</v>
      </c>
      <c r="V3" s="237">
        <f t="shared" si="0"/>
        <v>0</v>
      </c>
      <c r="W3" s="237">
        <f t="shared" si="0"/>
        <v>0</v>
      </c>
      <c r="X3" s="237">
        <f t="shared" si="0"/>
        <v>33</v>
      </c>
      <c r="Y3" s="237">
        <f t="shared" si="0"/>
        <v>3</v>
      </c>
      <c r="Z3" s="237">
        <f t="shared" si="0"/>
        <v>1</v>
      </c>
      <c r="AA3" s="237">
        <f t="shared" si="0"/>
        <v>0</v>
      </c>
      <c r="AB3" s="237">
        <f t="shared" si="0"/>
        <v>1</v>
      </c>
      <c r="AC3" s="237">
        <f t="shared" si="0"/>
        <v>0</v>
      </c>
      <c r="AD3" s="237">
        <f t="shared" si="0"/>
        <v>0</v>
      </c>
      <c r="AE3" s="237">
        <f t="shared" si="0"/>
        <v>9</v>
      </c>
      <c r="AF3" s="361"/>
      <c r="AG3" s="361"/>
      <c r="AH3" s="362"/>
      <c r="AI3" s="360"/>
      <c r="AJ3" s="360"/>
      <c r="AK3" s="360"/>
      <c r="AL3" s="360"/>
      <c r="AM3" s="360"/>
      <c r="AN3" s="360"/>
      <c r="AO3" s="331"/>
      <c r="AP3" s="331"/>
      <c r="AQ3" s="331"/>
      <c r="AR3" s="331"/>
    </row>
    <row r="4" spans="1:44" ht="15" customHeight="1">
      <c r="A4" s="139"/>
      <c r="B4" s="139" t="s">
        <v>302</v>
      </c>
      <c r="C4" s="49">
        <v>1</v>
      </c>
      <c r="D4" s="363">
        <v>1</v>
      </c>
      <c r="E4" s="49"/>
      <c r="F4" s="49">
        <v>1</v>
      </c>
      <c r="G4" s="49"/>
      <c r="H4" s="49">
        <v>3</v>
      </c>
      <c r="I4" s="49"/>
      <c r="J4" s="49">
        <v>3</v>
      </c>
      <c r="K4" s="49"/>
      <c r="L4" s="49"/>
      <c r="M4" s="49"/>
      <c r="N4" s="49">
        <v>2</v>
      </c>
      <c r="O4" s="297">
        <v>1</v>
      </c>
      <c r="P4" s="49"/>
      <c r="Q4" s="297"/>
      <c r="R4" s="297"/>
      <c r="S4" s="297">
        <v>3</v>
      </c>
      <c r="T4" s="49">
        <v>1</v>
      </c>
      <c r="U4" s="49">
        <v>1</v>
      </c>
      <c r="V4" s="49"/>
      <c r="W4" s="49"/>
      <c r="X4" s="49">
        <v>33</v>
      </c>
      <c r="Y4" s="49">
        <v>3</v>
      </c>
      <c r="Z4" s="49">
        <v>1</v>
      </c>
      <c r="AA4" s="360"/>
      <c r="AB4" s="360">
        <v>1</v>
      </c>
      <c r="AC4" s="360"/>
      <c r="AD4" s="360"/>
      <c r="AE4" s="361">
        <v>9</v>
      </c>
      <c r="AF4" s="361"/>
      <c r="AG4" s="361"/>
      <c r="AH4" s="362"/>
      <c r="AI4" s="360"/>
      <c r="AJ4" s="360"/>
      <c r="AK4" s="360"/>
      <c r="AL4" s="360"/>
      <c r="AM4" s="360"/>
      <c r="AN4" s="360"/>
      <c r="AO4" s="331"/>
      <c r="AP4" s="331"/>
      <c r="AQ4" s="331"/>
      <c r="AR4" s="331"/>
    </row>
    <row r="5" spans="1:44" s="465" customFormat="1">
      <c r="A5" s="201" t="s">
        <v>299</v>
      </c>
      <c r="B5" s="205"/>
      <c r="C5" s="462">
        <f>C6+C7+C8+C9</f>
        <v>0</v>
      </c>
      <c r="D5" s="462">
        <f t="shared" ref="D5:AE5" si="1">D6+D7+D8+D9</f>
        <v>1</v>
      </c>
      <c r="E5" s="462">
        <f t="shared" si="1"/>
        <v>0</v>
      </c>
      <c r="F5" s="462">
        <f t="shared" si="1"/>
        <v>1</v>
      </c>
      <c r="G5" s="462">
        <f t="shared" si="1"/>
        <v>0</v>
      </c>
      <c r="H5" s="462">
        <f t="shared" si="1"/>
        <v>1</v>
      </c>
      <c r="I5" s="462">
        <f t="shared" si="1"/>
        <v>1</v>
      </c>
      <c r="J5" s="462">
        <f t="shared" si="1"/>
        <v>1</v>
      </c>
      <c r="K5" s="462">
        <f t="shared" si="1"/>
        <v>0</v>
      </c>
      <c r="L5" s="462">
        <f t="shared" si="1"/>
        <v>0</v>
      </c>
      <c r="M5" s="462">
        <f t="shared" si="1"/>
        <v>0</v>
      </c>
      <c r="N5" s="462">
        <f t="shared" si="1"/>
        <v>0</v>
      </c>
      <c r="O5" s="462">
        <f t="shared" si="1"/>
        <v>1</v>
      </c>
      <c r="P5" s="462">
        <f t="shared" si="1"/>
        <v>1</v>
      </c>
      <c r="Q5" s="462">
        <f t="shared" si="1"/>
        <v>0</v>
      </c>
      <c r="R5" s="462">
        <f t="shared" si="1"/>
        <v>0</v>
      </c>
      <c r="S5" s="462">
        <f t="shared" si="1"/>
        <v>1</v>
      </c>
      <c r="T5" s="462">
        <f t="shared" si="1"/>
        <v>1</v>
      </c>
      <c r="U5" s="462">
        <f t="shared" si="1"/>
        <v>1</v>
      </c>
      <c r="V5" s="462">
        <f t="shared" si="1"/>
        <v>0</v>
      </c>
      <c r="W5" s="462">
        <f t="shared" si="1"/>
        <v>0</v>
      </c>
      <c r="X5" s="462">
        <f t="shared" si="1"/>
        <v>6</v>
      </c>
      <c r="Y5" s="462">
        <f t="shared" si="1"/>
        <v>0</v>
      </c>
      <c r="Z5" s="462">
        <f t="shared" si="1"/>
        <v>1</v>
      </c>
      <c r="AA5" s="462">
        <f t="shared" si="1"/>
        <v>0</v>
      </c>
      <c r="AB5" s="462">
        <f t="shared" si="1"/>
        <v>0</v>
      </c>
      <c r="AC5" s="462">
        <f t="shared" si="1"/>
        <v>0</v>
      </c>
      <c r="AD5" s="462">
        <f t="shared" si="1"/>
        <v>0</v>
      </c>
      <c r="AE5" s="462">
        <f t="shared" si="1"/>
        <v>1</v>
      </c>
      <c r="AF5" s="461"/>
      <c r="AG5" s="461"/>
      <c r="AH5" s="463"/>
      <c r="AI5" s="460"/>
      <c r="AJ5" s="460"/>
      <c r="AK5" s="460"/>
      <c r="AL5" s="460"/>
      <c r="AM5" s="460"/>
      <c r="AN5" s="460"/>
      <c r="AO5" s="464"/>
      <c r="AP5" s="464"/>
      <c r="AQ5" s="464"/>
      <c r="AR5" s="464"/>
    </row>
    <row r="6" spans="1:44" s="384" customFormat="1">
      <c r="A6" s="412"/>
      <c r="B6" s="413" t="s">
        <v>299</v>
      </c>
      <c r="C6" s="379"/>
      <c r="D6" s="379">
        <v>1</v>
      </c>
      <c r="E6" s="379"/>
      <c r="F6" s="379">
        <v>1</v>
      </c>
      <c r="G6" s="414"/>
      <c r="H6" s="414">
        <v>1</v>
      </c>
      <c r="I6" s="414">
        <v>1</v>
      </c>
      <c r="J6" s="379">
        <v>1</v>
      </c>
      <c r="K6" s="379"/>
      <c r="L6" s="379"/>
      <c r="M6" s="379"/>
      <c r="N6" s="379"/>
      <c r="O6" s="379">
        <v>1</v>
      </c>
      <c r="P6" s="379">
        <v>1</v>
      </c>
      <c r="Q6" s="379"/>
      <c r="R6" s="379"/>
      <c r="S6" s="379">
        <v>1</v>
      </c>
      <c r="T6" s="379">
        <v>1</v>
      </c>
      <c r="U6" s="379">
        <v>1</v>
      </c>
      <c r="V6" s="379"/>
      <c r="W6" s="379"/>
      <c r="X6" s="379">
        <v>6</v>
      </c>
      <c r="Y6" s="379"/>
      <c r="Z6" s="379">
        <v>1</v>
      </c>
      <c r="AA6" s="380"/>
      <c r="AB6" s="380"/>
      <c r="AC6" s="380"/>
      <c r="AD6" s="380"/>
      <c r="AE6" s="381">
        <v>1</v>
      </c>
      <c r="AF6" s="381"/>
      <c r="AG6" s="381"/>
      <c r="AH6" s="382"/>
      <c r="AI6" s="380"/>
      <c r="AJ6" s="380"/>
      <c r="AK6" s="380"/>
      <c r="AL6" s="380"/>
      <c r="AM6" s="380"/>
      <c r="AN6" s="380"/>
      <c r="AO6" s="383"/>
      <c r="AP6" s="383"/>
      <c r="AQ6" s="383"/>
      <c r="AR6" s="383"/>
    </row>
    <row r="7" spans="1:44">
      <c r="A7" s="171"/>
      <c r="B7" s="200" t="s">
        <v>225</v>
      </c>
      <c r="C7" s="364"/>
      <c r="D7" s="364"/>
      <c r="E7" s="364"/>
      <c r="F7" s="364"/>
      <c r="G7" s="365"/>
      <c r="H7" s="365"/>
      <c r="I7" s="365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0"/>
      <c r="AB7" s="360"/>
      <c r="AC7" s="360"/>
      <c r="AD7" s="360"/>
      <c r="AE7" s="361"/>
      <c r="AF7" s="361"/>
      <c r="AG7" s="361"/>
      <c r="AH7" s="362"/>
      <c r="AI7" s="360"/>
      <c r="AJ7" s="360"/>
      <c r="AK7" s="360"/>
      <c r="AL7" s="360"/>
      <c r="AM7" s="360"/>
      <c r="AN7" s="360"/>
      <c r="AO7" s="331"/>
      <c r="AP7" s="331"/>
      <c r="AQ7" s="331"/>
      <c r="AR7" s="331"/>
    </row>
    <row r="8" spans="1:44">
      <c r="A8" s="171"/>
      <c r="B8" s="200" t="s">
        <v>301</v>
      </c>
      <c r="C8" s="364"/>
      <c r="D8" s="364"/>
      <c r="E8" s="364"/>
      <c r="F8" s="364"/>
      <c r="G8" s="365"/>
      <c r="H8" s="365"/>
      <c r="I8" s="365"/>
      <c r="J8" s="364"/>
      <c r="K8" s="364"/>
      <c r="L8" s="364"/>
      <c r="M8" s="364"/>
      <c r="N8" s="364"/>
      <c r="O8" s="364"/>
      <c r="P8" s="364"/>
      <c r="Q8" s="364"/>
      <c r="R8" s="364"/>
      <c r="S8" s="364"/>
      <c r="T8" s="364"/>
      <c r="U8" s="364"/>
      <c r="V8" s="364"/>
      <c r="W8" s="364"/>
      <c r="X8" s="364"/>
      <c r="Y8" s="364"/>
      <c r="Z8" s="364"/>
      <c r="AA8" s="360"/>
      <c r="AB8" s="360"/>
      <c r="AC8" s="360"/>
      <c r="AD8" s="360"/>
      <c r="AE8" s="361"/>
      <c r="AF8" s="361"/>
      <c r="AG8" s="361"/>
      <c r="AH8" s="362"/>
      <c r="AI8" s="360"/>
      <c r="AJ8" s="360"/>
      <c r="AK8" s="360"/>
      <c r="AL8" s="360"/>
      <c r="AM8" s="360"/>
      <c r="AN8" s="360"/>
      <c r="AO8" s="331"/>
      <c r="AP8" s="331"/>
      <c r="AQ8" s="331"/>
      <c r="AR8" s="331"/>
    </row>
    <row r="9" spans="1:44" ht="15.75">
      <c r="A9" s="176"/>
      <c r="B9" s="200" t="s">
        <v>300</v>
      </c>
      <c r="C9" s="364"/>
      <c r="D9" s="364"/>
      <c r="E9" s="364"/>
      <c r="F9" s="364"/>
      <c r="G9" s="364"/>
      <c r="H9" s="364"/>
      <c r="I9" s="364"/>
      <c r="J9" s="364"/>
      <c r="K9" s="364"/>
      <c r="L9" s="364"/>
      <c r="M9" s="364"/>
      <c r="N9" s="364"/>
      <c r="O9" s="364"/>
      <c r="P9" s="364"/>
      <c r="Q9" s="364"/>
      <c r="R9" s="364"/>
      <c r="S9" s="364"/>
      <c r="T9" s="364"/>
      <c r="U9" s="364"/>
      <c r="V9" s="364"/>
      <c r="W9" s="364"/>
      <c r="X9" s="364"/>
      <c r="Y9" s="364"/>
      <c r="Z9" s="364"/>
      <c r="AA9" s="360"/>
      <c r="AB9" s="360"/>
      <c r="AC9" s="360"/>
      <c r="AD9" s="360"/>
      <c r="AE9" s="361"/>
      <c r="AF9" s="361"/>
      <c r="AG9" s="361"/>
      <c r="AH9" s="362"/>
      <c r="AI9" s="360"/>
      <c r="AJ9" s="360"/>
      <c r="AK9" s="360"/>
      <c r="AL9" s="360"/>
      <c r="AM9" s="360"/>
      <c r="AN9" s="360"/>
      <c r="AO9" s="331"/>
      <c r="AP9" s="331"/>
      <c r="AQ9" s="331"/>
      <c r="AR9" s="331"/>
    </row>
    <row r="10" spans="1:44" ht="15.75">
      <c r="A10" s="184" t="s">
        <v>254</v>
      </c>
      <c r="B10" s="184"/>
      <c r="C10" s="462">
        <f>C11+C12</f>
        <v>0</v>
      </c>
      <c r="D10" s="462">
        <f t="shared" ref="D10:AE10" si="2">D11+D12</f>
        <v>0</v>
      </c>
      <c r="E10" s="462">
        <f t="shared" si="2"/>
        <v>0</v>
      </c>
      <c r="F10" s="462">
        <f t="shared" si="2"/>
        <v>0</v>
      </c>
      <c r="G10" s="462">
        <f t="shared" si="2"/>
        <v>0</v>
      </c>
      <c r="H10" s="462">
        <f t="shared" si="2"/>
        <v>0</v>
      </c>
      <c r="I10" s="462">
        <f t="shared" si="2"/>
        <v>0</v>
      </c>
      <c r="J10" s="462">
        <f t="shared" si="2"/>
        <v>0</v>
      </c>
      <c r="K10" s="462">
        <f t="shared" si="2"/>
        <v>0</v>
      </c>
      <c r="L10" s="462">
        <f t="shared" si="2"/>
        <v>0</v>
      </c>
      <c r="M10" s="462">
        <f t="shared" si="2"/>
        <v>0</v>
      </c>
      <c r="N10" s="462">
        <f t="shared" si="2"/>
        <v>0</v>
      </c>
      <c r="O10" s="462">
        <f t="shared" si="2"/>
        <v>0</v>
      </c>
      <c r="P10" s="462">
        <f t="shared" si="2"/>
        <v>0</v>
      </c>
      <c r="Q10" s="462">
        <f t="shared" si="2"/>
        <v>0</v>
      </c>
      <c r="R10" s="462">
        <f t="shared" si="2"/>
        <v>0</v>
      </c>
      <c r="S10" s="462">
        <f t="shared" si="2"/>
        <v>0</v>
      </c>
      <c r="T10" s="462">
        <f t="shared" si="2"/>
        <v>0</v>
      </c>
      <c r="U10" s="462">
        <f t="shared" si="2"/>
        <v>0</v>
      </c>
      <c r="V10" s="462">
        <f t="shared" si="2"/>
        <v>0</v>
      </c>
      <c r="W10" s="462">
        <f t="shared" si="2"/>
        <v>0</v>
      </c>
      <c r="X10" s="462">
        <f t="shared" si="2"/>
        <v>0</v>
      </c>
      <c r="Y10" s="462">
        <f t="shared" si="2"/>
        <v>0</v>
      </c>
      <c r="Z10" s="462">
        <f t="shared" si="2"/>
        <v>0</v>
      </c>
      <c r="AA10" s="462">
        <f t="shared" si="2"/>
        <v>0</v>
      </c>
      <c r="AB10" s="462">
        <f t="shared" si="2"/>
        <v>0</v>
      </c>
      <c r="AC10" s="462">
        <f t="shared" si="2"/>
        <v>0</v>
      </c>
      <c r="AD10" s="462">
        <f t="shared" si="2"/>
        <v>0</v>
      </c>
      <c r="AE10" s="462">
        <f t="shared" si="2"/>
        <v>0</v>
      </c>
      <c r="AF10" s="361"/>
      <c r="AG10" s="361"/>
      <c r="AH10" s="362"/>
      <c r="AI10" s="360"/>
      <c r="AJ10" s="360"/>
      <c r="AK10" s="360"/>
      <c r="AL10" s="360"/>
      <c r="AM10" s="360"/>
      <c r="AN10" s="360"/>
      <c r="AO10" s="331"/>
      <c r="AP10" s="331"/>
      <c r="AQ10" s="331"/>
      <c r="AR10" s="331"/>
    </row>
    <row r="11" spans="1:44" ht="15.75">
      <c r="A11" s="108"/>
      <c r="B11" s="102" t="s">
        <v>255</v>
      </c>
      <c r="C11" s="364"/>
      <c r="D11" s="364"/>
      <c r="E11" s="364"/>
      <c r="F11" s="364"/>
      <c r="G11" s="364"/>
      <c r="H11" s="364"/>
      <c r="I11" s="364"/>
      <c r="J11" s="364"/>
      <c r="K11" s="364"/>
      <c r="L11" s="364"/>
      <c r="M11" s="364"/>
      <c r="N11" s="364"/>
      <c r="O11" s="364"/>
      <c r="P11" s="364"/>
      <c r="Q11" s="364"/>
      <c r="R11" s="364"/>
      <c r="S11" s="364"/>
      <c r="T11" s="364"/>
      <c r="U11" s="364"/>
      <c r="V11" s="364"/>
      <c r="W11" s="364"/>
      <c r="X11" s="364"/>
      <c r="Y11" s="364"/>
      <c r="Z11" s="364"/>
      <c r="AA11" s="360"/>
      <c r="AB11" s="360"/>
      <c r="AC11" s="360"/>
      <c r="AD11" s="360"/>
      <c r="AE11" s="361"/>
      <c r="AF11" s="361"/>
      <c r="AG11" s="361"/>
      <c r="AH11" s="362"/>
      <c r="AI11" s="360"/>
      <c r="AJ11" s="360"/>
      <c r="AK11" s="360"/>
      <c r="AL11" s="360"/>
      <c r="AM11" s="360"/>
      <c r="AN11" s="360"/>
      <c r="AO11" s="331"/>
      <c r="AP11" s="331"/>
      <c r="AQ11" s="331"/>
      <c r="AR11" s="331"/>
    </row>
    <row r="12" spans="1:44" ht="15.75">
      <c r="A12" s="213"/>
      <c r="B12" s="214" t="s">
        <v>256</v>
      </c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364"/>
      <c r="Y12" s="364"/>
      <c r="Z12" s="364"/>
      <c r="AA12" s="360"/>
      <c r="AB12" s="360"/>
      <c r="AC12" s="360"/>
      <c r="AD12" s="360"/>
      <c r="AE12" s="361"/>
      <c r="AF12" s="361"/>
      <c r="AG12" s="361"/>
      <c r="AH12" s="362"/>
      <c r="AI12" s="360"/>
      <c r="AJ12" s="360"/>
      <c r="AK12" s="360"/>
      <c r="AL12" s="360"/>
      <c r="AM12" s="360"/>
      <c r="AN12" s="360"/>
      <c r="AO12" s="331"/>
      <c r="AP12" s="331"/>
      <c r="AQ12" s="331"/>
      <c r="AR12" s="331"/>
    </row>
    <row r="13" spans="1:44" ht="15.75">
      <c r="A13" s="184" t="s">
        <v>257</v>
      </c>
      <c r="B13" s="184"/>
      <c r="C13" s="462">
        <f>C14+C15+C16</f>
        <v>0</v>
      </c>
      <c r="D13" s="462">
        <f t="shared" ref="D13:AE13" si="3">D14+D15+D16</f>
        <v>0</v>
      </c>
      <c r="E13" s="462">
        <f t="shared" si="3"/>
        <v>0</v>
      </c>
      <c r="F13" s="462">
        <f t="shared" si="3"/>
        <v>0</v>
      </c>
      <c r="G13" s="462">
        <f t="shared" si="3"/>
        <v>0</v>
      </c>
      <c r="H13" s="462">
        <f t="shared" si="3"/>
        <v>0</v>
      </c>
      <c r="I13" s="462">
        <f t="shared" si="3"/>
        <v>0</v>
      </c>
      <c r="J13" s="462">
        <f t="shared" si="3"/>
        <v>0</v>
      </c>
      <c r="K13" s="462">
        <f t="shared" si="3"/>
        <v>0</v>
      </c>
      <c r="L13" s="462">
        <f t="shared" si="3"/>
        <v>0</v>
      </c>
      <c r="M13" s="462">
        <f t="shared" si="3"/>
        <v>0</v>
      </c>
      <c r="N13" s="462">
        <f t="shared" si="3"/>
        <v>0</v>
      </c>
      <c r="O13" s="462">
        <f t="shared" si="3"/>
        <v>0</v>
      </c>
      <c r="P13" s="462">
        <f t="shared" si="3"/>
        <v>0</v>
      </c>
      <c r="Q13" s="462">
        <f t="shared" si="3"/>
        <v>0</v>
      </c>
      <c r="R13" s="462">
        <f t="shared" si="3"/>
        <v>0</v>
      </c>
      <c r="S13" s="462">
        <f t="shared" si="3"/>
        <v>0</v>
      </c>
      <c r="T13" s="462">
        <f t="shared" si="3"/>
        <v>0</v>
      </c>
      <c r="U13" s="462">
        <f t="shared" si="3"/>
        <v>0</v>
      </c>
      <c r="V13" s="462">
        <f t="shared" si="3"/>
        <v>0</v>
      </c>
      <c r="W13" s="462">
        <f t="shared" si="3"/>
        <v>0</v>
      </c>
      <c r="X13" s="462">
        <f t="shared" si="3"/>
        <v>0</v>
      </c>
      <c r="Y13" s="462">
        <f t="shared" si="3"/>
        <v>0</v>
      </c>
      <c r="Z13" s="462">
        <f t="shared" si="3"/>
        <v>0</v>
      </c>
      <c r="AA13" s="462">
        <f t="shared" si="3"/>
        <v>0</v>
      </c>
      <c r="AB13" s="462">
        <f t="shared" si="3"/>
        <v>0</v>
      </c>
      <c r="AC13" s="462">
        <f t="shared" si="3"/>
        <v>0</v>
      </c>
      <c r="AD13" s="462">
        <f t="shared" si="3"/>
        <v>0</v>
      </c>
      <c r="AE13" s="462">
        <f t="shared" si="3"/>
        <v>0</v>
      </c>
      <c r="AF13" s="361"/>
      <c r="AG13" s="361"/>
      <c r="AH13" s="362"/>
      <c r="AI13" s="360"/>
      <c r="AJ13" s="360"/>
      <c r="AK13" s="360"/>
      <c r="AL13" s="360"/>
      <c r="AM13" s="360"/>
      <c r="AN13" s="360"/>
      <c r="AO13" s="331"/>
      <c r="AP13" s="331"/>
      <c r="AQ13" s="331"/>
      <c r="AR13" s="331"/>
    </row>
    <row r="14" spans="1:44" ht="15.75">
      <c r="A14" s="102"/>
      <c r="B14" s="102" t="s">
        <v>258</v>
      </c>
      <c r="C14" s="364"/>
      <c r="D14" s="364"/>
      <c r="E14" s="364"/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364"/>
      <c r="AA14" s="360"/>
      <c r="AB14" s="360"/>
      <c r="AC14" s="360"/>
      <c r="AD14" s="360"/>
      <c r="AE14" s="361"/>
      <c r="AF14" s="361"/>
      <c r="AG14" s="361"/>
      <c r="AH14" s="362"/>
      <c r="AI14" s="360"/>
      <c r="AJ14" s="360"/>
      <c r="AK14" s="360"/>
      <c r="AL14" s="360"/>
      <c r="AM14" s="360"/>
      <c r="AN14" s="360"/>
      <c r="AO14" s="331"/>
      <c r="AP14" s="331"/>
      <c r="AQ14" s="331"/>
      <c r="AR14" s="331"/>
    </row>
    <row r="15" spans="1:44" ht="17.25" customHeight="1">
      <c r="A15" s="102"/>
      <c r="B15" s="102" t="s">
        <v>259</v>
      </c>
      <c r="C15" s="366"/>
      <c r="D15" s="366"/>
      <c r="E15" s="366"/>
      <c r="F15" s="366"/>
      <c r="G15" s="366"/>
      <c r="H15" s="366"/>
      <c r="I15" s="366"/>
      <c r="J15" s="367"/>
      <c r="K15" s="367"/>
      <c r="L15" s="367"/>
      <c r="M15" s="367"/>
      <c r="N15" s="367"/>
      <c r="O15" s="366"/>
      <c r="P15" s="366"/>
      <c r="Q15" s="366"/>
      <c r="R15" s="367"/>
      <c r="S15" s="367"/>
      <c r="T15" s="367"/>
      <c r="U15" s="367"/>
      <c r="V15" s="367"/>
      <c r="W15" s="367"/>
      <c r="X15" s="367"/>
      <c r="Y15" s="360"/>
      <c r="Z15" s="360"/>
      <c r="AA15" s="360"/>
      <c r="AB15" s="360"/>
      <c r="AC15" s="360"/>
      <c r="AD15" s="360"/>
      <c r="AE15" s="361"/>
      <c r="AF15" s="361"/>
      <c r="AG15" s="361"/>
      <c r="AH15" s="362"/>
      <c r="AI15" s="360"/>
      <c r="AJ15" s="360"/>
      <c r="AK15" s="360"/>
      <c r="AL15" s="360"/>
      <c r="AM15" s="360"/>
      <c r="AN15" s="360"/>
      <c r="AO15" s="331"/>
      <c r="AP15" s="331"/>
      <c r="AQ15" s="331"/>
      <c r="AR15" s="331"/>
    </row>
    <row r="16" spans="1:44" ht="15.75">
      <c r="A16" s="176"/>
      <c r="B16" s="102" t="s">
        <v>260</v>
      </c>
      <c r="C16" s="367"/>
      <c r="D16" s="367"/>
      <c r="E16" s="367"/>
      <c r="F16" s="367"/>
      <c r="G16" s="367"/>
      <c r="H16" s="367"/>
      <c r="I16" s="367"/>
      <c r="J16" s="367"/>
      <c r="K16" s="367"/>
      <c r="L16" s="367"/>
      <c r="M16" s="367"/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0"/>
      <c r="Z16" s="360"/>
      <c r="AA16" s="360"/>
      <c r="AB16" s="360"/>
      <c r="AC16" s="360"/>
      <c r="AD16" s="360"/>
      <c r="AE16" s="361"/>
      <c r="AF16" s="361"/>
      <c r="AG16" s="361"/>
      <c r="AH16" s="362"/>
      <c r="AI16" s="360"/>
      <c r="AJ16" s="360"/>
      <c r="AK16" s="360"/>
      <c r="AL16" s="360"/>
      <c r="AM16" s="360"/>
      <c r="AN16" s="360"/>
      <c r="AO16" s="331"/>
      <c r="AP16" s="331"/>
      <c r="AQ16" s="331"/>
      <c r="AR16" s="331"/>
    </row>
    <row r="17" spans="1:44" ht="15.75">
      <c r="A17" s="184" t="s">
        <v>261</v>
      </c>
      <c r="B17" s="184"/>
      <c r="C17" s="192">
        <f>C18+C19</f>
        <v>0</v>
      </c>
      <c r="D17" s="192">
        <f t="shared" ref="D17:AE17" si="4">D18+D19</f>
        <v>1</v>
      </c>
      <c r="E17" s="192">
        <f t="shared" si="4"/>
        <v>0</v>
      </c>
      <c r="F17" s="192">
        <f t="shared" si="4"/>
        <v>2</v>
      </c>
      <c r="G17" s="192">
        <f t="shared" si="4"/>
        <v>0</v>
      </c>
      <c r="H17" s="192">
        <f t="shared" si="4"/>
        <v>0</v>
      </c>
      <c r="I17" s="192">
        <f t="shared" si="4"/>
        <v>1</v>
      </c>
      <c r="J17" s="192">
        <f t="shared" si="4"/>
        <v>1</v>
      </c>
      <c r="K17" s="192">
        <f t="shared" si="4"/>
        <v>0</v>
      </c>
      <c r="L17" s="192">
        <f t="shared" si="4"/>
        <v>0</v>
      </c>
      <c r="M17" s="192">
        <f t="shared" si="4"/>
        <v>0</v>
      </c>
      <c r="N17" s="192">
        <f t="shared" si="4"/>
        <v>0</v>
      </c>
      <c r="O17" s="192">
        <f t="shared" si="4"/>
        <v>2</v>
      </c>
      <c r="P17" s="192">
        <f t="shared" si="4"/>
        <v>0</v>
      </c>
      <c r="Q17" s="192">
        <f t="shared" si="4"/>
        <v>2</v>
      </c>
      <c r="R17" s="192">
        <f t="shared" si="4"/>
        <v>0</v>
      </c>
      <c r="S17" s="192">
        <f t="shared" si="4"/>
        <v>0</v>
      </c>
      <c r="T17" s="192">
        <f t="shared" si="4"/>
        <v>2</v>
      </c>
      <c r="U17" s="192">
        <f t="shared" si="4"/>
        <v>2</v>
      </c>
      <c r="V17" s="192">
        <f t="shared" si="4"/>
        <v>0</v>
      </c>
      <c r="W17" s="192">
        <f t="shared" si="4"/>
        <v>0</v>
      </c>
      <c r="X17" s="192">
        <f t="shared" si="4"/>
        <v>7</v>
      </c>
      <c r="Y17" s="192">
        <f t="shared" si="4"/>
        <v>0</v>
      </c>
      <c r="Z17" s="192">
        <f t="shared" si="4"/>
        <v>0</v>
      </c>
      <c r="AA17" s="192">
        <f t="shared" si="4"/>
        <v>0</v>
      </c>
      <c r="AB17" s="192">
        <f t="shared" si="4"/>
        <v>0</v>
      </c>
      <c r="AC17" s="192">
        <f t="shared" si="4"/>
        <v>1</v>
      </c>
      <c r="AD17" s="192">
        <f t="shared" si="4"/>
        <v>0</v>
      </c>
      <c r="AE17" s="192">
        <f t="shared" si="4"/>
        <v>1</v>
      </c>
      <c r="AF17" s="361"/>
      <c r="AG17" s="361"/>
      <c r="AH17" s="362"/>
      <c r="AI17" s="360"/>
      <c r="AJ17" s="360"/>
      <c r="AK17" s="360"/>
      <c r="AL17" s="360"/>
      <c r="AM17" s="360"/>
      <c r="AN17" s="360"/>
      <c r="AO17" s="331"/>
      <c r="AP17" s="331"/>
      <c r="AQ17" s="331"/>
      <c r="AR17" s="331"/>
    </row>
    <row r="18" spans="1:44" ht="15.75">
      <c r="A18" s="102"/>
      <c r="B18" s="102" t="s">
        <v>262</v>
      </c>
      <c r="C18" s="476"/>
      <c r="D18" s="476">
        <v>1</v>
      </c>
      <c r="E18" s="476"/>
      <c r="F18" s="476">
        <v>1</v>
      </c>
      <c r="G18" s="476"/>
      <c r="H18" s="476"/>
      <c r="I18" s="476">
        <v>1</v>
      </c>
      <c r="J18" s="476">
        <v>1</v>
      </c>
      <c r="K18" s="476"/>
      <c r="L18" s="476"/>
      <c r="M18" s="476"/>
      <c r="N18" s="476"/>
      <c r="O18" s="476">
        <v>1</v>
      </c>
      <c r="P18" s="476"/>
      <c r="Q18" s="476">
        <v>1</v>
      </c>
      <c r="R18" s="476"/>
      <c r="S18" s="476"/>
      <c r="T18" s="476">
        <v>1</v>
      </c>
      <c r="U18" s="476">
        <v>1</v>
      </c>
      <c r="V18" s="476"/>
      <c r="W18" s="476"/>
      <c r="X18" s="476">
        <v>5</v>
      </c>
      <c r="Y18" s="478"/>
      <c r="Z18" s="478"/>
      <c r="AA18" s="478"/>
      <c r="AB18" s="478"/>
      <c r="AC18" s="478">
        <v>1</v>
      </c>
      <c r="AD18" s="478"/>
      <c r="AE18" s="479">
        <v>1</v>
      </c>
      <c r="AF18" s="361"/>
      <c r="AG18" s="361"/>
      <c r="AH18" s="362"/>
      <c r="AI18" s="360"/>
      <c r="AJ18" s="360"/>
      <c r="AK18" s="360"/>
      <c r="AL18" s="360"/>
      <c r="AM18" s="360"/>
      <c r="AN18" s="360"/>
      <c r="AO18" s="331"/>
      <c r="AP18" s="331"/>
      <c r="AQ18" s="331"/>
      <c r="AR18" s="331"/>
    </row>
    <row r="19" spans="1:44" ht="15.75">
      <c r="A19" s="176"/>
      <c r="B19" s="102" t="s">
        <v>263</v>
      </c>
      <c r="C19" s="477"/>
      <c r="D19" s="477"/>
      <c r="E19" s="477"/>
      <c r="F19" s="477">
        <v>1</v>
      </c>
      <c r="G19" s="477"/>
      <c r="H19" s="477"/>
      <c r="I19" s="477"/>
      <c r="J19" s="476"/>
      <c r="K19" s="476"/>
      <c r="L19" s="476"/>
      <c r="M19" s="476"/>
      <c r="N19" s="476"/>
      <c r="O19" s="476">
        <v>1</v>
      </c>
      <c r="P19" s="476"/>
      <c r="Q19" s="476">
        <v>1</v>
      </c>
      <c r="R19" s="476"/>
      <c r="S19" s="476"/>
      <c r="T19" s="476">
        <v>1</v>
      </c>
      <c r="U19" s="476">
        <v>1</v>
      </c>
      <c r="V19" s="476"/>
      <c r="W19" s="476"/>
      <c r="X19" s="476">
        <v>2</v>
      </c>
      <c r="Y19" s="478"/>
      <c r="Z19" s="478"/>
      <c r="AA19" s="478"/>
      <c r="AB19" s="478"/>
      <c r="AC19" s="478"/>
      <c r="AD19" s="478"/>
      <c r="AE19" s="479"/>
      <c r="AF19" s="361"/>
      <c r="AG19" s="361"/>
      <c r="AH19" s="362"/>
      <c r="AI19" s="360"/>
      <c r="AJ19" s="360"/>
      <c r="AK19" s="360"/>
      <c r="AL19" s="360"/>
      <c r="AM19" s="360"/>
      <c r="AN19" s="360"/>
      <c r="AO19" s="331"/>
      <c r="AP19" s="331"/>
      <c r="AQ19" s="331"/>
      <c r="AR19" s="331"/>
    </row>
    <row r="20" spans="1:44" ht="15.75">
      <c r="A20" s="184" t="s">
        <v>264</v>
      </c>
      <c r="B20" s="184"/>
      <c r="C20" s="475">
        <f>C21+C22</f>
        <v>0</v>
      </c>
      <c r="D20" s="475">
        <f t="shared" ref="D20:AE20" si="5">D21+D22</f>
        <v>0</v>
      </c>
      <c r="E20" s="475">
        <f t="shared" si="5"/>
        <v>0</v>
      </c>
      <c r="F20" s="475">
        <f t="shared" si="5"/>
        <v>0</v>
      </c>
      <c r="G20" s="475">
        <f t="shared" si="5"/>
        <v>0</v>
      </c>
      <c r="H20" s="475">
        <f t="shared" si="5"/>
        <v>0</v>
      </c>
      <c r="I20" s="475">
        <f t="shared" si="5"/>
        <v>0</v>
      </c>
      <c r="J20" s="475">
        <f t="shared" si="5"/>
        <v>0</v>
      </c>
      <c r="K20" s="475">
        <f t="shared" si="5"/>
        <v>0</v>
      </c>
      <c r="L20" s="475">
        <f t="shared" si="5"/>
        <v>0</v>
      </c>
      <c r="M20" s="475">
        <f t="shared" si="5"/>
        <v>0</v>
      </c>
      <c r="N20" s="475">
        <f t="shared" si="5"/>
        <v>0</v>
      </c>
      <c r="O20" s="475">
        <f t="shared" si="5"/>
        <v>0</v>
      </c>
      <c r="P20" s="475">
        <f t="shared" si="5"/>
        <v>0</v>
      </c>
      <c r="Q20" s="475">
        <f t="shared" si="5"/>
        <v>0</v>
      </c>
      <c r="R20" s="475">
        <f t="shared" si="5"/>
        <v>0</v>
      </c>
      <c r="S20" s="475">
        <f t="shared" si="5"/>
        <v>0</v>
      </c>
      <c r="T20" s="475">
        <f t="shared" si="5"/>
        <v>1</v>
      </c>
      <c r="U20" s="475">
        <f t="shared" si="5"/>
        <v>0</v>
      </c>
      <c r="V20" s="475">
        <f t="shared" si="5"/>
        <v>0</v>
      </c>
      <c r="W20" s="475">
        <f t="shared" si="5"/>
        <v>0</v>
      </c>
      <c r="X20" s="475">
        <f t="shared" si="5"/>
        <v>0</v>
      </c>
      <c r="Y20" s="475">
        <f t="shared" si="5"/>
        <v>0</v>
      </c>
      <c r="Z20" s="475">
        <f t="shared" si="5"/>
        <v>0</v>
      </c>
      <c r="AA20" s="475">
        <f t="shared" si="5"/>
        <v>0</v>
      </c>
      <c r="AB20" s="475">
        <f t="shared" si="5"/>
        <v>0</v>
      </c>
      <c r="AC20" s="475">
        <f t="shared" si="5"/>
        <v>0</v>
      </c>
      <c r="AD20" s="475">
        <f t="shared" si="5"/>
        <v>0</v>
      </c>
      <c r="AE20" s="475">
        <f t="shared" si="5"/>
        <v>0</v>
      </c>
      <c r="AF20" s="361"/>
      <c r="AG20" s="361"/>
      <c r="AH20" s="362"/>
      <c r="AI20" s="360"/>
      <c r="AJ20" s="360"/>
      <c r="AK20" s="360"/>
      <c r="AL20" s="360"/>
      <c r="AM20" s="360"/>
      <c r="AN20" s="360"/>
      <c r="AO20" s="331"/>
      <c r="AP20" s="331"/>
      <c r="AQ20" s="331"/>
      <c r="AR20" s="331"/>
    </row>
    <row r="21" spans="1:44" ht="15.75">
      <c r="A21" s="102"/>
      <c r="B21" s="102" t="s">
        <v>265</v>
      </c>
      <c r="C21" s="364"/>
      <c r="D21" s="364"/>
      <c r="E21" s="364"/>
      <c r="F21" s="364"/>
      <c r="G21" s="364"/>
      <c r="H21" s="364"/>
      <c r="I21" s="364"/>
      <c r="J21" s="364"/>
      <c r="K21" s="364"/>
      <c r="L21" s="364"/>
      <c r="M21" s="364"/>
      <c r="N21" s="364"/>
      <c r="O21" s="364"/>
      <c r="P21" s="364"/>
      <c r="Q21" s="364"/>
      <c r="R21" s="364"/>
      <c r="S21" s="364"/>
      <c r="T21" s="364">
        <v>1</v>
      </c>
      <c r="U21" s="364"/>
      <c r="V21" s="364"/>
      <c r="W21" s="364"/>
      <c r="X21" s="364"/>
      <c r="Y21" s="364"/>
      <c r="Z21" s="364"/>
      <c r="AA21" s="360"/>
      <c r="AB21" s="360"/>
      <c r="AC21" s="360"/>
      <c r="AD21" s="360"/>
      <c r="AE21" s="361"/>
      <c r="AF21" s="361"/>
      <c r="AG21" s="361"/>
      <c r="AH21" s="362"/>
      <c r="AI21" s="360"/>
      <c r="AJ21" s="360"/>
      <c r="AK21" s="360"/>
      <c r="AL21" s="360"/>
      <c r="AM21" s="360"/>
      <c r="AN21" s="360"/>
      <c r="AO21" s="331"/>
      <c r="AP21" s="331"/>
      <c r="AQ21" s="331"/>
      <c r="AR21" s="331"/>
    </row>
    <row r="22" spans="1:44" ht="15.75">
      <c r="A22" s="212"/>
      <c r="B22" s="102" t="s">
        <v>266</v>
      </c>
      <c r="C22" s="360"/>
      <c r="D22" s="360"/>
      <c r="E22" s="360"/>
      <c r="F22" s="360"/>
      <c r="G22" s="360"/>
      <c r="H22" s="360"/>
      <c r="I22" s="360"/>
      <c r="J22" s="360"/>
      <c r="K22" s="360"/>
      <c r="L22" s="360"/>
      <c r="M22" s="360"/>
      <c r="N22" s="360"/>
      <c r="O22" s="360"/>
      <c r="P22" s="360"/>
      <c r="Q22" s="360"/>
      <c r="R22" s="360"/>
      <c r="S22" s="360"/>
      <c r="T22" s="360"/>
      <c r="U22" s="360"/>
      <c r="V22" s="360"/>
      <c r="W22" s="360"/>
      <c r="X22" s="360"/>
      <c r="Y22" s="360"/>
      <c r="Z22" s="360"/>
      <c r="AA22" s="360"/>
      <c r="AB22" s="360"/>
      <c r="AC22" s="360"/>
      <c r="AD22" s="360"/>
      <c r="AE22" s="361"/>
      <c r="AF22" s="361"/>
      <c r="AG22" s="361"/>
      <c r="AH22" s="362"/>
      <c r="AI22" s="360"/>
      <c r="AJ22" s="360"/>
      <c r="AK22" s="360"/>
      <c r="AL22" s="360"/>
      <c r="AM22" s="360"/>
      <c r="AN22" s="360"/>
      <c r="AO22" s="331"/>
      <c r="AP22" s="331"/>
      <c r="AQ22" s="331"/>
      <c r="AR22" s="331"/>
    </row>
    <row r="23" spans="1:44" ht="15.75">
      <c r="A23" s="184" t="s">
        <v>267</v>
      </c>
      <c r="B23" s="184"/>
      <c r="C23" s="460">
        <f>C24+C25+C26</f>
        <v>1</v>
      </c>
      <c r="D23" s="460">
        <f t="shared" ref="D23:AE23" si="6">D24+D25+D26</f>
        <v>0</v>
      </c>
      <c r="E23" s="460">
        <f t="shared" si="6"/>
        <v>0</v>
      </c>
      <c r="F23" s="460">
        <f t="shared" si="6"/>
        <v>2</v>
      </c>
      <c r="G23" s="460">
        <f t="shared" si="6"/>
        <v>0</v>
      </c>
      <c r="H23" s="460">
        <f t="shared" si="6"/>
        <v>0</v>
      </c>
      <c r="I23" s="460">
        <f t="shared" si="6"/>
        <v>0</v>
      </c>
      <c r="J23" s="460">
        <f t="shared" si="6"/>
        <v>1</v>
      </c>
      <c r="K23" s="460">
        <f t="shared" si="6"/>
        <v>0</v>
      </c>
      <c r="L23" s="460">
        <f t="shared" si="6"/>
        <v>0</v>
      </c>
      <c r="M23" s="460">
        <f t="shared" si="6"/>
        <v>0</v>
      </c>
      <c r="N23" s="460">
        <f t="shared" si="6"/>
        <v>0</v>
      </c>
      <c r="O23" s="460">
        <f t="shared" si="6"/>
        <v>1</v>
      </c>
      <c r="P23" s="460">
        <f t="shared" si="6"/>
        <v>0</v>
      </c>
      <c r="Q23" s="460">
        <f t="shared" si="6"/>
        <v>1</v>
      </c>
      <c r="R23" s="460">
        <f t="shared" si="6"/>
        <v>0</v>
      </c>
      <c r="S23" s="460">
        <f t="shared" si="6"/>
        <v>0</v>
      </c>
      <c r="T23" s="460">
        <f t="shared" si="6"/>
        <v>2</v>
      </c>
      <c r="U23" s="460">
        <f t="shared" si="6"/>
        <v>1</v>
      </c>
      <c r="V23" s="460">
        <f t="shared" si="6"/>
        <v>0</v>
      </c>
      <c r="W23" s="460">
        <f t="shared" si="6"/>
        <v>0</v>
      </c>
      <c r="X23" s="460">
        <f t="shared" si="6"/>
        <v>3</v>
      </c>
      <c r="Y23" s="460">
        <f t="shared" si="6"/>
        <v>0</v>
      </c>
      <c r="Z23" s="460">
        <f t="shared" si="6"/>
        <v>0</v>
      </c>
      <c r="AA23" s="460">
        <f t="shared" si="6"/>
        <v>0</v>
      </c>
      <c r="AB23" s="460">
        <f t="shared" si="6"/>
        <v>0</v>
      </c>
      <c r="AC23" s="460">
        <f t="shared" si="6"/>
        <v>0</v>
      </c>
      <c r="AD23" s="460">
        <f t="shared" si="6"/>
        <v>8</v>
      </c>
      <c r="AE23" s="460">
        <f t="shared" si="6"/>
        <v>0</v>
      </c>
      <c r="AF23" s="460"/>
      <c r="AG23" s="361"/>
      <c r="AH23" s="362"/>
      <c r="AI23" s="360"/>
      <c r="AJ23" s="360"/>
      <c r="AK23" s="360"/>
      <c r="AL23" s="360"/>
      <c r="AM23" s="360"/>
      <c r="AN23" s="360"/>
      <c r="AO23" s="331"/>
      <c r="AP23" s="331"/>
      <c r="AQ23" s="331"/>
      <c r="AR23" s="331"/>
    </row>
    <row r="24" spans="1:44" s="384" customFormat="1" ht="15.75">
      <c r="A24" s="378"/>
      <c r="B24" s="378" t="s">
        <v>268</v>
      </c>
      <c r="C24" s="379">
        <v>1</v>
      </c>
      <c r="D24" s="379"/>
      <c r="E24" s="379"/>
      <c r="F24" s="379">
        <v>1</v>
      </c>
      <c r="G24" s="379"/>
      <c r="H24" s="379"/>
      <c r="I24" s="379"/>
      <c r="J24" s="379">
        <v>1</v>
      </c>
      <c r="K24" s="379"/>
      <c r="L24" s="379"/>
      <c r="M24" s="379"/>
      <c r="N24" s="379"/>
      <c r="O24" s="379">
        <v>1</v>
      </c>
      <c r="P24" s="379"/>
      <c r="Q24" s="379">
        <v>1</v>
      </c>
      <c r="R24" s="379"/>
      <c r="S24" s="379"/>
      <c r="T24" s="379">
        <v>1</v>
      </c>
      <c r="U24" s="379">
        <v>1</v>
      </c>
      <c r="V24" s="379"/>
      <c r="W24" s="379"/>
      <c r="X24" s="379">
        <v>1</v>
      </c>
      <c r="Y24" s="379"/>
      <c r="Z24" s="379"/>
      <c r="AA24" s="380"/>
      <c r="AB24" s="380"/>
      <c r="AC24" s="380"/>
      <c r="AD24" s="380"/>
      <c r="AE24" s="381"/>
      <c r="AF24" s="381"/>
      <c r="AG24" s="381"/>
      <c r="AH24" s="382"/>
      <c r="AI24" s="380"/>
      <c r="AJ24" s="380"/>
      <c r="AK24" s="380"/>
      <c r="AL24" s="380"/>
      <c r="AM24" s="380"/>
      <c r="AN24" s="380"/>
      <c r="AO24" s="383"/>
      <c r="AP24" s="383"/>
      <c r="AQ24" s="383"/>
      <c r="AR24" s="383"/>
    </row>
    <row r="25" spans="1:44" s="384" customFormat="1" ht="15.75">
      <c r="A25" s="378"/>
      <c r="B25" s="378" t="s">
        <v>269</v>
      </c>
      <c r="C25" s="379"/>
      <c r="D25" s="379"/>
      <c r="E25" s="379"/>
      <c r="F25" s="379">
        <v>1</v>
      </c>
      <c r="G25" s="379"/>
      <c r="H25" s="379"/>
      <c r="I25" s="379"/>
      <c r="J25" s="379"/>
      <c r="K25" s="379"/>
      <c r="L25" s="379"/>
      <c r="M25" s="379"/>
      <c r="N25" s="379"/>
      <c r="O25" s="379"/>
      <c r="P25" s="379"/>
      <c r="Q25" s="379"/>
      <c r="R25" s="379"/>
      <c r="S25" s="379"/>
      <c r="T25" s="379"/>
      <c r="U25" s="379"/>
      <c r="V25" s="379"/>
      <c r="W25" s="379"/>
      <c r="X25" s="379">
        <v>1</v>
      </c>
      <c r="Y25" s="379"/>
      <c r="Z25" s="379"/>
      <c r="AA25" s="380"/>
      <c r="AB25" s="380"/>
      <c r="AC25" s="380"/>
      <c r="AD25" s="380">
        <v>4</v>
      </c>
      <c r="AE25" s="381"/>
      <c r="AF25" s="381"/>
      <c r="AG25" s="381"/>
      <c r="AH25" s="382"/>
      <c r="AI25" s="380"/>
      <c r="AJ25" s="380"/>
      <c r="AK25" s="380"/>
      <c r="AL25" s="380"/>
      <c r="AM25" s="380"/>
      <c r="AN25" s="380"/>
      <c r="AO25" s="383"/>
      <c r="AP25" s="383"/>
      <c r="AQ25" s="383"/>
      <c r="AR25" s="383"/>
    </row>
    <row r="26" spans="1:44" s="384" customFormat="1" ht="15.75">
      <c r="A26" s="377"/>
      <c r="B26" s="378" t="s">
        <v>270</v>
      </c>
      <c r="C26" s="379"/>
      <c r="D26" s="379"/>
      <c r="E26" s="379"/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/>
      <c r="Q26" s="379"/>
      <c r="R26" s="379"/>
      <c r="S26" s="379"/>
      <c r="T26" s="379">
        <v>1</v>
      </c>
      <c r="U26" s="379"/>
      <c r="V26" s="379"/>
      <c r="W26" s="379"/>
      <c r="X26" s="379">
        <v>1</v>
      </c>
      <c r="Y26" s="379"/>
      <c r="Z26" s="379"/>
      <c r="AA26" s="380"/>
      <c r="AB26" s="380"/>
      <c r="AC26" s="380"/>
      <c r="AD26" s="380">
        <v>4</v>
      </c>
      <c r="AE26" s="381"/>
      <c r="AF26" s="381"/>
      <c r="AG26" s="381"/>
      <c r="AH26" s="382"/>
      <c r="AI26" s="380"/>
      <c r="AJ26" s="380"/>
      <c r="AK26" s="380"/>
      <c r="AL26" s="380"/>
      <c r="AM26" s="380"/>
      <c r="AN26" s="380"/>
      <c r="AO26" s="383"/>
      <c r="AP26" s="383"/>
      <c r="AQ26" s="383"/>
      <c r="AR26" s="383"/>
    </row>
    <row r="27" spans="1:44" s="465" customFormat="1" ht="15.75">
      <c r="A27" s="184" t="s">
        <v>271</v>
      </c>
      <c r="B27" s="184"/>
      <c r="C27" s="462">
        <f>C28+C29+C30+C31+C32</f>
        <v>0</v>
      </c>
      <c r="D27" s="462">
        <f t="shared" ref="D27:AE27" si="7">D28+D29+D30+D31+D32</f>
        <v>0</v>
      </c>
      <c r="E27" s="462">
        <f t="shared" si="7"/>
        <v>0</v>
      </c>
      <c r="F27" s="462">
        <f t="shared" si="7"/>
        <v>0</v>
      </c>
      <c r="G27" s="462">
        <f t="shared" si="7"/>
        <v>0</v>
      </c>
      <c r="H27" s="462">
        <f t="shared" si="7"/>
        <v>0</v>
      </c>
      <c r="I27" s="462">
        <f t="shared" si="7"/>
        <v>0</v>
      </c>
      <c r="J27" s="462">
        <f t="shared" si="7"/>
        <v>0</v>
      </c>
      <c r="K27" s="462">
        <f t="shared" si="7"/>
        <v>0</v>
      </c>
      <c r="L27" s="462">
        <f t="shared" si="7"/>
        <v>0</v>
      </c>
      <c r="M27" s="462">
        <f t="shared" si="7"/>
        <v>0</v>
      </c>
      <c r="N27" s="462">
        <f t="shared" si="7"/>
        <v>0</v>
      </c>
      <c r="O27" s="462">
        <f t="shared" si="7"/>
        <v>0</v>
      </c>
      <c r="P27" s="462">
        <f t="shared" si="7"/>
        <v>0</v>
      </c>
      <c r="Q27" s="462">
        <f t="shared" si="7"/>
        <v>0</v>
      </c>
      <c r="R27" s="462">
        <f t="shared" si="7"/>
        <v>0</v>
      </c>
      <c r="S27" s="462">
        <f t="shared" si="7"/>
        <v>0</v>
      </c>
      <c r="T27" s="462">
        <f t="shared" si="7"/>
        <v>2</v>
      </c>
      <c r="U27" s="462">
        <f t="shared" si="7"/>
        <v>0</v>
      </c>
      <c r="V27" s="462">
        <f t="shared" si="7"/>
        <v>0</v>
      </c>
      <c r="W27" s="462">
        <f t="shared" si="7"/>
        <v>0</v>
      </c>
      <c r="X27" s="462">
        <f t="shared" si="7"/>
        <v>0</v>
      </c>
      <c r="Y27" s="462">
        <f t="shared" si="7"/>
        <v>0</v>
      </c>
      <c r="Z27" s="462">
        <f t="shared" si="7"/>
        <v>0</v>
      </c>
      <c r="AA27" s="462">
        <f t="shared" si="7"/>
        <v>0</v>
      </c>
      <c r="AB27" s="462">
        <f t="shared" si="7"/>
        <v>0</v>
      </c>
      <c r="AC27" s="462">
        <f t="shared" si="7"/>
        <v>0</v>
      </c>
      <c r="AD27" s="462">
        <f t="shared" si="7"/>
        <v>0</v>
      </c>
      <c r="AE27" s="462">
        <f t="shared" si="7"/>
        <v>0</v>
      </c>
      <c r="AF27" s="461"/>
      <c r="AG27" s="461"/>
      <c r="AH27" s="463"/>
      <c r="AI27" s="460"/>
      <c r="AJ27" s="460"/>
      <c r="AK27" s="460"/>
      <c r="AL27" s="460"/>
      <c r="AM27" s="460"/>
      <c r="AN27" s="460"/>
      <c r="AO27" s="464"/>
      <c r="AP27" s="464"/>
      <c r="AQ27" s="464"/>
      <c r="AR27" s="464"/>
    </row>
    <row r="28" spans="1:44" ht="15.75">
      <c r="A28" s="102"/>
      <c r="B28" s="102" t="s">
        <v>272</v>
      </c>
      <c r="C28" s="364"/>
      <c r="D28" s="364"/>
      <c r="E28" s="364"/>
      <c r="F28" s="364"/>
      <c r="G28" s="364"/>
      <c r="H28" s="364"/>
      <c r="I28" s="364"/>
      <c r="J28" s="364"/>
      <c r="K28" s="364"/>
      <c r="L28" s="364"/>
      <c r="M28" s="364"/>
      <c r="N28" s="364"/>
      <c r="O28" s="364"/>
      <c r="P28" s="364"/>
      <c r="Q28" s="364"/>
      <c r="R28" s="364"/>
      <c r="S28" s="364"/>
      <c r="T28" s="364">
        <v>1</v>
      </c>
      <c r="U28" s="364"/>
      <c r="V28" s="364"/>
      <c r="W28" s="364"/>
      <c r="X28" s="364"/>
      <c r="Y28" s="364"/>
      <c r="Z28" s="364"/>
      <c r="AA28" s="360"/>
      <c r="AB28" s="360"/>
      <c r="AC28" s="360"/>
      <c r="AD28" s="360"/>
      <c r="AE28" s="361"/>
      <c r="AF28" s="361"/>
      <c r="AG28" s="361"/>
      <c r="AH28" s="362"/>
      <c r="AI28" s="360"/>
      <c r="AJ28" s="360"/>
      <c r="AK28" s="360"/>
      <c r="AL28" s="360"/>
      <c r="AM28" s="360"/>
      <c r="AN28" s="360"/>
      <c r="AO28" s="331"/>
      <c r="AP28" s="331"/>
      <c r="AQ28" s="331"/>
      <c r="AR28" s="331"/>
    </row>
    <row r="29" spans="1:44" ht="15.75">
      <c r="A29" s="102"/>
      <c r="B29" s="102" t="s">
        <v>273</v>
      </c>
      <c r="C29" s="364"/>
      <c r="D29" s="364"/>
      <c r="E29" s="364"/>
      <c r="F29" s="364"/>
      <c r="G29" s="364"/>
      <c r="H29" s="364"/>
      <c r="I29" s="364"/>
      <c r="J29" s="364"/>
      <c r="K29" s="364"/>
      <c r="L29" s="364"/>
      <c r="M29" s="364"/>
      <c r="N29" s="364"/>
      <c r="O29" s="364"/>
      <c r="P29" s="364"/>
      <c r="Q29" s="364"/>
      <c r="R29" s="364"/>
      <c r="S29" s="364"/>
      <c r="T29" s="364"/>
      <c r="U29" s="364"/>
      <c r="V29" s="364"/>
      <c r="W29" s="364"/>
      <c r="X29" s="364"/>
      <c r="Y29" s="364"/>
      <c r="Z29" s="364"/>
      <c r="AA29" s="360"/>
      <c r="AB29" s="360"/>
      <c r="AC29" s="360"/>
      <c r="AD29" s="360"/>
      <c r="AE29" s="361"/>
      <c r="AF29" s="361"/>
      <c r="AG29" s="361"/>
      <c r="AH29" s="362"/>
      <c r="AI29" s="360"/>
      <c r="AJ29" s="360"/>
      <c r="AK29" s="360"/>
      <c r="AL29" s="360"/>
      <c r="AM29" s="360"/>
      <c r="AN29" s="360"/>
      <c r="AO29" s="331"/>
      <c r="AP29" s="331"/>
      <c r="AQ29" s="331"/>
      <c r="AR29" s="331"/>
    </row>
    <row r="30" spans="1:44" ht="15.75">
      <c r="A30" s="102"/>
      <c r="B30" s="102" t="s">
        <v>274</v>
      </c>
      <c r="C30" s="364"/>
      <c r="D30" s="364"/>
      <c r="E30" s="364"/>
      <c r="F30" s="364"/>
      <c r="G30" s="364"/>
      <c r="H30" s="364"/>
      <c r="I30" s="364"/>
      <c r="J30" s="364"/>
      <c r="K30" s="364"/>
      <c r="L30" s="364"/>
      <c r="M30" s="364"/>
      <c r="N30" s="364"/>
      <c r="O30" s="364"/>
      <c r="P30" s="364"/>
      <c r="Q30" s="364"/>
      <c r="R30" s="364"/>
      <c r="S30" s="364"/>
      <c r="T30" s="364"/>
      <c r="U30" s="364"/>
      <c r="V30" s="364"/>
      <c r="W30" s="364"/>
      <c r="X30" s="364"/>
      <c r="Y30" s="364"/>
      <c r="Z30" s="364"/>
      <c r="AA30" s="360"/>
      <c r="AB30" s="360"/>
      <c r="AC30" s="360"/>
      <c r="AD30" s="360"/>
      <c r="AE30" s="361"/>
      <c r="AF30" s="361"/>
      <c r="AG30" s="361"/>
      <c r="AH30" s="362"/>
      <c r="AI30" s="360"/>
      <c r="AJ30" s="360"/>
      <c r="AK30" s="360"/>
      <c r="AL30" s="360"/>
      <c r="AM30" s="360"/>
      <c r="AN30" s="360"/>
      <c r="AO30" s="331"/>
      <c r="AP30" s="331"/>
      <c r="AQ30" s="331"/>
      <c r="AR30" s="331"/>
    </row>
    <row r="31" spans="1:44" ht="15.75">
      <c r="A31" s="102"/>
      <c r="B31" s="102" t="s">
        <v>275</v>
      </c>
      <c r="C31" s="368"/>
      <c r="D31" s="368"/>
      <c r="E31" s="368"/>
      <c r="F31" s="368"/>
      <c r="G31" s="368"/>
      <c r="H31" s="368"/>
      <c r="I31" s="368"/>
      <c r="J31" s="364"/>
      <c r="K31" s="364"/>
      <c r="L31" s="364"/>
      <c r="M31" s="364"/>
      <c r="N31" s="364"/>
      <c r="O31" s="364"/>
      <c r="P31" s="364"/>
      <c r="Q31" s="364"/>
      <c r="R31" s="364"/>
      <c r="S31" s="364"/>
      <c r="T31" s="364">
        <v>1</v>
      </c>
      <c r="U31" s="364"/>
      <c r="V31" s="364"/>
      <c r="W31" s="364"/>
      <c r="X31" s="364"/>
      <c r="Y31" s="364"/>
      <c r="Z31" s="364"/>
      <c r="AA31" s="360"/>
      <c r="AB31" s="364"/>
      <c r="AC31" s="360"/>
      <c r="AD31" s="360"/>
      <c r="AE31" s="361"/>
      <c r="AF31" s="361"/>
      <c r="AG31" s="361"/>
      <c r="AH31" s="362"/>
      <c r="AI31" s="360"/>
      <c r="AJ31" s="360"/>
      <c r="AK31" s="360"/>
      <c r="AL31" s="360"/>
      <c r="AM31" s="360"/>
      <c r="AN31" s="360"/>
      <c r="AO31" s="331"/>
      <c r="AP31" s="331"/>
      <c r="AQ31" s="331"/>
      <c r="AR31" s="331"/>
    </row>
    <row r="32" spans="1:44" ht="15.75">
      <c r="A32" s="212"/>
      <c r="B32" s="102" t="s">
        <v>276</v>
      </c>
      <c r="C32" s="369"/>
      <c r="D32" s="369"/>
      <c r="E32" s="369"/>
      <c r="F32" s="369"/>
      <c r="G32" s="369"/>
      <c r="H32" s="369"/>
      <c r="I32" s="369"/>
      <c r="J32" s="369"/>
      <c r="K32" s="369"/>
      <c r="L32" s="369"/>
      <c r="M32" s="369"/>
      <c r="N32" s="369"/>
      <c r="O32" s="369"/>
      <c r="P32" s="369"/>
      <c r="Q32" s="369"/>
      <c r="R32" s="369"/>
      <c r="S32" s="369"/>
      <c r="T32" s="369"/>
      <c r="U32" s="369"/>
      <c r="V32" s="369"/>
      <c r="W32" s="369"/>
      <c r="X32" s="369"/>
      <c r="Y32" s="369"/>
      <c r="Z32" s="369"/>
      <c r="AA32" s="370"/>
      <c r="AB32" s="370"/>
      <c r="AC32" s="370"/>
      <c r="AD32" s="360"/>
      <c r="AE32" s="361"/>
      <c r="AF32" s="361"/>
      <c r="AG32" s="361"/>
      <c r="AH32" s="371"/>
      <c r="AI32" s="370"/>
      <c r="AJ32" s="370"/>
      <c r="AK32" s="370"/>
      <c r="AL32" s="370"/>
      <c r="AM32" s="370"/>
      <c r="AN32" s="370"/>
      <c r="AO32" s="372"/>
      <c r="AP32" s="372"/>
      <c r="AQ32" s="372"/>
      <c r="AR32" s="372"/>
    </row>
    <row r="33" spans="1:40" s="464" customFormat="1" ht="15.75">
      <c r="A33" s="184" t="s">
        <v>277</v>
      </c>
      <c r="B33" s="184"/>
      <c r="C33" s="460">
        <f>SUM(C34:C38)</f>
        <v>0</v>
      </c>
      <c r="D33" s="460">
        <f t="shared" ref="D33:AF33" si="8">SUM(D34:D38)</f>
        <v>1</v>
      </c>
      <c r="E33" s="460">
        <f t="shared" si="8"/>
        <v>0</v>
      </c>
      <c r="F33" s="460">
        <f t="shared" si="8"/>
        <v>1</v>
      </c>
      <c r="G33" s="460">
        <f t="shared" si="8"/>
        <v>1</v>
      </c>
      <c r="H33" s="460">
        <f t="shared" si="8"/>
        <v>0</v>
      </c>
      <c r="I33" s="460">
        <f t="shared" si="8"/>
        <v>0</v>
      </c>
      <c r="J33" s="460">
        <f t="shared" si="8"/>
        <v>1</v>
      </c>
      <c r="K33" s="460">
        <f t="shared" si="8"/>
        <v>0</v>
      </c>
      <c r="L33" s="460">
        <f t="shared" si="8"/>
        <v>0</v>
      </c>
      <c r="M33" s="460">
        <f t="shared" si="8"/>
        <v>0</v>
      </c>
      <c r="N33" s="460">
        <f t="shared" si="8"/>
        <v>0</v>
      </c>
      <c r="O33" s="460">
        <f t="shared" si="8"/>
        <v>4</v>
      </c>
      <c r="P33" s="460">
        <f t="shared" si="8"/>
        <v>0</v>
      </c>
      <c r="Q33" s="460">
        <f t="shared" si="8"/>
        <v>4</v>
      </c>
      <c r="R33" s="460">
        <f t="shared" si="8"/>
        <v>0</v>
      </c>
      <c r="S33" s="460">
        <f t="shared" si="8"/>
        <v>0</v>
      </c>
      <c r="T33" s="460">
        <f t="shared" si="8"/>
        <v>2</v>
      </c>
      <c r="U33" s="460">
        <f t="shared" si="8"/>
        <v>0</v>
      </c>
      <c r="V33" s="460">
        <f t="shared" si="8"/>
        <v>0</v>
      </c>
      <c r="W33" s="460">
        <f t="shared" si="8"/>
        <v>0</v>
      </c>
      <c r="X33" s="460">
        <f t="shared" si="8"/>
        <v>0</v>
      </c>
      <c r="Y33" s="460">
        <f t="shared" si="8"/>
        <v>0</v>
      </c>
      <c r="Z33" s="460">
        <f t="shared" si="8"/>
        <v>0</v>
      </c>
      <c r="AA33" s="460">
        <f t="shared" si="8"/>
        <v>0</v>
      </c>
      <c r="AB33" s="460">
        <f t="shared" si="8"/>
        <v>0</v>
      </c>
      <c r="AC33" s="460">
        <f t="shared" si="8"/>
        <v>0</v>
      </c>
      <c r="AD33" s="460">
        <f t="shared" si="8"/>
        <v>0</v>
      </c>
      <c r="AE33" s="460">
        <f t="shared" si="8"/>
        <v>0</v>
      </c>
      <c r="AF33" s="460">
        <f t="shared" si="8"/>
        <v>0</v>
      </c>
      <c r="AG33" s="460"/>
      <c r="AH33" s="460"/>
      <c r="AI33" s="460"/>
      <c r="AJ33" s="460"/>
      <c r="AK33" s="460"/>
      <c r="AL33" s="460"/>
      <c r="AM33" s="460"/>
      <c r="AN33" s="460"/>
    </row>
    <row r="34" spans="1:40" s="331" customFormat="1" ht="15.75">
      <c r="A34" s="102"/>
      <c r="B34" s="102" t="s">
        <v>278</v>
      </c>
      <c r="C34" s="360"/>
      <c r="D34" s="360">
        <v>1</v>
      </c>
      <c r="E34" s="360"/>
      <c r="F34" s="360">
        <v>1</v>
      </c>
      <c r="G34" s="360"/>
      <c r="H34" s="360"/>
      <c r="I34" s="360"/>
      <c r="J34" s="360">
        <v>1</v>
      </c>
      <c r="K34" s="360"/>
      <c r="L34" s="360"/>
      <c r="M34" s="360"/>
      <c r="N34" s="360"/>
      <c r="O34" s="360">
        <v>1</v>
      </c>
      <c r="P34" s="360"/>
      <c r="Q34" s="360">
        <v>1</v>
      </c>
      <c r="R34" s="360"/>
      <c r="S34" s="360"/>
      <c r="T34" s="360">
        <v>1</v>
      </c>
      <c r="U34" s="360"/>
      <c r="V34" s="360"/>
      <c r="W34" s="360"/>
      <c r="X34" s="360"/>
      <c r="Y34" s="360"/>
      <c r="Z34" s="360"/>
      <c r="AA34" s="360"/>
      <c r="AB34" s="360"/>
      <c r="AC34" s="360"/>
      <c r="AD34" s="360"/>
      <c r="AE34" s="362"/>
      <c r="AF34" s="360"/>
      <c r="AG34" s="360"/>
      <c r="AH34" s="360"/>
      <c r="AI34" s="360"/>
      <c r="AJ34" s="360"/>
      <c r="AK34" s="360"/>
      <c r="AL34" s="360"/>
      <c r="AM34" s="360"/>
      <c r="AN34" s="360"/>
    </row>
    <row r="35" spans="1:40" s="331" customFormat="1" ht="15.75">
      <c r="A35" s="102"/>
      <c r="B35" s="102" t="s">
        <v>279</v>
      </c>
      <c r="C35" s="360"/>
      <c r="D35" s="360"/>
      <c r="E35" s="360"/>
      <c r="F35" s="360"/>
      <c r="G35" s="360">
        <v>1</v>
      </c>
      <c r="H35" s="360"/>
      <c r="I35" s="360"/>
      <c r="J35" s="360"/>
      <c r="K35" s="360"/>
      <c r="L35" s="360"/>
      <c r="M35" s="360"/>
      <c r="N35" s="360"/>
      <c r="O35" s="360">
        <v>1</v>
      </c>
      <c r="P35" s="360"/>
      <c r="Q35" s="360">
        <v>1</v>
      </c>
      <c r="R35" s="360"/>
      <c r="S35" s="360"/>
      <c r="T35" s="360">
        <v>1</v>
      </c>
      <c r="U35" s="360"/>
      <c r="V35" s="360"/>
      <c r="W35" s="360"/>
      <c r="X35" s="360"/>
      <c r="Y35" s="360"/>
      <c r="Z35" s="360"/>
      <c r="AA35" s="360"/>
      <c r="AB35" s="360"/>
      <c r="AC35" s="360"/>
      <c r="AD35" s="360"/>
      <c r="AE35" s="362"/>
      <c r="AF35" s="360"/>
      <c r="AG35" s="360"/>
      <c r="AH35" s="360"/>
      <c r="AI35" s="360"/>
      <c r="AJ35" s="360"/>
      <c r="AK35" s="360"/>
      <c r="AL35" s="360"/>
      <c r="AM35" s="360"/>
      <c r="AN35" s="360"/>
    </row>
    <row r="36" spans="1:40" s="331" customFormat="1" ht="15.75">
      <c r="A36" s="102"/>
      <c r="B36" s="102" t="s">
        <v>280</v>
      </c>
      <c r="O36" s="331">
        <v>1</v>
      </c>
      <c r="Q36" s="331">
        <v>1</v>
      </c>
      <c r="AE36" s="385"/>
    </row>
    <row r="37" spans="1:40" s="331" customFormat="1" ht="15.75" customHeight="1">
      <c r="A37" s="102"/>
      <c r="B37" s="102" t="s">
        <v>281</v>
      </c>
      <c r="AE37" s="385"/>
    </row>
    <row r="38" spans="1:40" s="331" customFormat="1" ht="15.75">
      <c r="A38" s="212"/>
      <c r="B38" s="102" t="s">
        <v>282</v>
      </c>
      <c r="C38" s="323"/>
      <c r="D38" s="323"/>
      <c r="E38" s="323"/>
      <c r="F38" s="323"/>
      <c r="G38" s="323"/>
      <c r="H38" s="323"/>
      <c r="I38" s="323"/>
      <c r="J38" s="323"/>
      <c r="K38" s="323"/>
      <c r="L38" s="323"/>
      <c r="M38" s="323"/>
      <c r="N38" s="323"/>
      <c r="O38" s="323">
        <v>1</v>
      </c>
      <c r="P38" s="323"/>
      <c r="Q38" s="323">
        <v>1</v>
      </c>
      <c r="R38" s="323"/>
      <c r="S38" s="323"/>
      <c r="T38" s="323"/>
      <c r="U38" s="323"/>
      <c r="V38" s="323"/>
      <c r="W38" s="323"/>
      <c r="X38" s="323"/>
      <c r="AE38" s="385"/>
    </row>
    <row r="39" spans="1:40" s="464" customFormat="1" ht="15.75">
      <c r="A39" s="184" t="s">
        <v>283</v>
      </c>
      <c r="B39" s="184"/>
      <c r="C39" s="307">
        <f>SUM(C40:C44)</f>
        <v>0</v>
      </c>
      <c r="D39" s="307">
        <f t="shared" ref="D39:AF39" si="9">SUM(D40:D44)</f>
        <v>1</v>
      </c>
      <c r="E39" s="307">
        <f t="shared" si="9"/>
        <v>0</v>
      </c>
      <c r="F39" s="307">
        <f t="shared" si="9"/>
        <v>1</v>
      </c>
      <c r="G39" s="307">
        <f t="shared" si="9"/>
        <v>1</v>
      </c>
      <c r="H39" s="307">
        <f t="shared" si="9"/>
        <v>0</v>
      </c>
      <c r="I39" s="307">
        <f t="shared" si="9"/>
        <v>0</v>
      </c>
      <c r="J39" s="307">
        <f t="shared" si="9"/>
        <v>0</v>
      </c>
      <c r="K39" s="307">
        <f t="shared" si="9"/>
        <v>0</v>
      </c>
      <c r="L39" s="307">
        <f t="shared" si="9"/>
        <v>0</v>
      </c>
      <c r="M39" s="307">
        <f t="shared" si="9"/>
        <v>0</v>
      </c>
      <c r="N39" s="307">
        <f t="shared" si="9"/>
        <v>0</v>
      </c>
      <c r="O39" s="307">
        <f t="shared" si="9"/>
        <v>1</v>
      </c>
      <c r="P39" s="307">
        <f t="shared" si="9"/>
        <v>0</v>
      </c>
      <c r="Q39" s="307">
        <f t="shared" si="9"/>
        <v>0</v>
      </c>
      <c r="R39" s="307">
        <f t="shared" si="9"/>
        <v>0</v>
      </c>
      <c r="S39" s="307">
        <f t="shared" si="9"/>
        <v>0</v>
      </c>
      <c r="T39" s="307">
        <f t="shared" si="9"/>
        <v>1</v>
      </c>
      <c r="U39" s="307">
        <f t="shared" si="9"/>
        <v>0</v>
      </c>
      <c r="V39" s="307">
        <f t="shared" si="9"/>
        <v>0</v>
      </c>
      <c r="W39" s="307">
        <f t="shared" si="9"/>
        <v>0</v>
      </c>
      <c r="X39" s="307">
        <f t="shared" si="9"/>
        <v>0</v>
      </c>
      <c r="Y39" s="307">
        <f t="shared" si="9"/>
        <v>0</v>
      </c>
      <c r="Z39" s="307">
        <f t="shared" si="9"/>
        <v>0</v>
      </c>
      <c r="AA39" s="307">
        <f t="shared" si="9"/>
        <v>0</v>
      </c>
      <c r="AB39" s="307">
        <f t="shared" si="9"/>
        <v>0</v>
      </c>
      <c r="AC39" s="307">
        <f t="shared" si="9"/>
        <v>0</v>
      </c>
      <c r="AD39" s="307">
        <f t="shared" si="9"/>
        <v>10</v>
      </c>
      <c r="AE39" s="307">
        <f t="shared" si="9"/>
        <v>1</v>
      </c>
      <c r="AF39" s="307">
        <f t="shared" si="9"/>
        <v>0</v>
      </c>
    </row>
    <row r="40" spans="1:40" s="331" customFormat="1" ht="15.75">
      <c r="A40" s="102"/>
      <c r="B40" s="102" t="s">
        <v>284</v>
      </c>
      <c r="C40" s="323"/>
      <c r="D40" s="323">
        <v>1</v>
      </c>
      <c r="E40" s="323"/>
      <c r="F40" s="323">
        <v>1</v>
      </c>
      <c r="G40" s="323">
        <v>1</v>
      </c>
      <c r="H40" s="323"/>
      <c r="I40" s="323"/>
      <c r="J40" s="323"/>
      <c r="K40" s="323"/>
      <c r="L40" s="323"/>
      <c r="M40" s="323"/>
      <c r="N40" s="323"/>
      <c r="O40" s="323">
        <v>1</v>
      </c>
      <c r="P40" s="323"/>
      <c r="Q40" s="323"/>
      <c r="R40" s="323"/>
      <c r="S40" s="323"/>
      <c r="T40" s="323">
        <v>1</v>
      </c>
      <c r="U40" s="323"/>
      <c r="V40" s="323"/>
      <c r="W40" s="323"/>
      <c r="X40" s="323"/>
      <c r="AD40" s="331">
        <v>10</v>
      </c>
      <c r="AE40" s="385">
        <v>1</v>
      </c>
    </row>
    <row r="41" spans="1:40" s="331" customFormat="1" ht="15.75">
      <c r="A41" s="102"/>
      <c r="B41" s="102" t="s">
        <v>285</v>
      </c>
      <c r="C41" s="323"/>
      <c r="D41" s="323"/>
      <c r="E41" s="323"/>
      <c r="F41" s="323"/>
      <c r="G41" s="323"/>
      <c r="H41" s="323"/>
      <c r="I41" s="323"/>
      <c r="J41" s="323"/>
      <c r="K41" s="323"/>
      <c r="L41" s="323"/>
      <c r="M41" s="323"/>
      <c r="N41" s="323"/>
      <c r="O41" s="323"/>
      <c r="P41" s="323"/>
      <c r="Q41" s="323"/>
      <c r="R41" s="323"/>
      <c r="S41" s="323"/>
      <c r="T41" s="323"/>
      <c r="U41" s="323"/>
      <c r="V41" s="323"/>
      <c r="W41" s="323"/>
      <c r="X41" s="323"/>
      <c r="AE41" s="385"/>
    </row>
    <row r="42" spans="1:40" s="331" customFormat="1" ht="15.75">
      <c r="A42" s="102"/>
      <c r="B42" s="102" t="s">
        <v>286</v>
      </c>
      <c r="C42" s="323"/>
      <c r="D42" s="323"/>
      <c r="E42" s="323"/>
      <c r="F42" s="323"/>
      <c r="G42" s="323"/>
      <c r="H42" s="323"/>
      <c r="I42" s="323"/>
      <c r="J42" s="323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3"/>
      <c r="V42" s="323"/>
      <c r="W42" s="323"/>
      <c r="X42" s="323"/>
      <c r="AE42" s="385"/>
    </row>
    <row r="43" spans="1:40" s="331" customFormat="1" ht="15.75">
      <c r="A43" s="102"/>
      <c r="B43" s="102" t="s">
        <v>287</v>
      </c>
      <c r="AE43" s="385"/>
    </row>
    <row r="44" spans="1:40" s="331" customFormat="1" ht="13.5" customHeight="1">
      <c r="A44" s="176"/>
      <c r="B44" s="100" t="s">
        <v>298</v>
      </c>
      <c r="AE44" s="385"/>
    </row>
    <row r="45" spans="1:40" s="464" customFormat="1" ht="14.25" customHeight="1">
      <c r="A45" s="184" t="s">
        <v>288</v>
      </c>
      <c r="B45" s="184"/>
      <c r="C45" s="464">
        <f>C46+C47+C48</f>
        <v>0</v>
      </c>
      <c r="D45" s="464">
        <f t="shared" ref="D45:AE45" si="10">D46+D47+D48</f>
        <v>1</v>
      </c>
      <c r="E45" s="464">
        <f t="shared" si="10"/>
        <v>0</v>
      </c>
      <c r="F45" s="464">
        <f t="shared" si="10"/>
        <v>1</v>
      </c>
      <c r="G45" s="464">
        <f t="shared" si="10"/>
        <v>1</v>
      </c>
      <c r="H45" s="464">
        <f t="shared" si="10"/>
        <v>1</v>
      </c>
      <c r="I45" s="464">
        <f t="shared" si="10"/>
        <v>0</v>
      </c>
      <c r="J45" s="464">
        <f t="shared" si="10"/>
        <v>1</v>
      </c>
      <c r="K45" s="464">
        <f t="shared" si="10"/>
        <v>0</v>
      </c>
      <c r="L45" s="464">
        <f t="shared" si="10"/>
        <v>0</v>
      </c>
      <c r="M45" s="464">
        <f t="shared" si="10"/>
        <v>0</v>
      </c>
      <c r="N45" s="464">
        <f t="shared" si="10"/>
        <v>0</v>
      </c>
      <c r="O45" s="464">
        <f t="shared" si="10"/>
        <v>2</v>
      </c>
      <c r="P45" s="464">
        <f t="shared" si="10"/>
        <v>0</v>
      </c>
      <c r="Q45" s="464">
        <f t="shared" si="10"/>
        <v>2</v>
      </c>
      <c r="R45" s="464">
        <f t="shared" si="10"/>
        <v>1</v>
      </c>
      <c r="S45" s="464">
        <f t="shared" si="10"/>
        <v>0</v>
      </c>
      <c r="T45" s="464">
        <f t="shared" si="10"/>
        <v>1</v>
      </c>
      <c r="U45" s="464">
        <f t="shared" si="10"/>
        <v>1</v>
      </c>
      <c r="V45" s="464">
        <f t="shared" si="10"/>
        <v>0</v>
      </c>
      <c r="W45" s="464">
        <f t="shared" si="10"/>
        <v>0</v>
      </c>
      <c r="X45" s="464">
        <f t="shared" si="10"/>
        <v>5</v>
      </c>
      <c r="Y45" s="464">
        <f t="shared" si="10"/>
        <v>0</v>
      </c>
      <c r="Z45" s="464">
        <f t="shared" si="10"/>
        <v>0</v>
      </c>
      <c r="AA45" s="464">
        <f t="shared" si="10"/>
        <v>0</v>
      </c>
      <c r="AB45" s="464">
        <f t="shared" si="10"/>
        <v>0</v>
      </c>
      <c r="AC45" s="464">
        <f t="shared" si="10"/>
        <v>1</v>
      </c>
      <c r="AD45" s="464">
        <f t="shared" si="10"/>
        <v>0</v>
      </c>
      <c r="AE45" s="464">
        <f t="shared" si="10"/>
        <v>1</v>
      </c>
    </row>
    <row r="46" spans="1:40" s="383" customFormat="1" ht="15.75">
      <c r="A46" s="378"/>
      <c r="B46" s="378" t="s">
        <v>289</v>
      </c>
      <c r="D46" s="383">
        <v>1</v>
      </c>
      <c r="F46" s="383">
        <v>1</v>
      </c>
      <c r="H46" s="383">
        <v>1</v>
      </c>
      <c r="J46" s="383">
        <v>1</v>
      </c>
      <c r="O46" s="383">
        <v>1</v>
      </c>
      <c r="Q46" s="383">
        <v>1</v>
      </c>
      <c r="R46" s="383">
        <v>1</v>
      </c>
      <c r="T46" s="383">
        <v>1</v>
      </c>
      <c r="U46" s="383">
        <v>1</v>
      </c>
      <c r="X46" s="383">
        <v>4</v>
      </c>
      <c r="AC46" s="383">
        <v>1</v>
      </c>
      <c r="AE46" s="417">
        <v>1</v>
      </c>
    </row>
    <row r="47" spans="1:40" s="331" customFormat="1" ht="15.75">
      <c r="A47" s="102"/>
      <c r="B47" s="102" t="s">
        <v>290</v>
      </c>
      <c r="V47" s="385"/>
      <c r="AE47" s="385"/>
    </row>
    <row r="48" spans="1:40" s="418" customFormat="1" ht="15.75">
      <c r="A48" s="377"/>
      <c r="B48" s="378" t="s">
        <v>291</v>
      </c>
      <c r="C48" s="383"/>
      <c r="D48" s="383"/>
      <c r="E48" s="383"/>
      <c r="F48" s="383"/>
      <c r="G48" s="383">
        <v>1</v>
      </c>
      <c r="H48" s="383"/>
      <c r="I48" s="383"/>
      <c r="J48" s="383"/>
      <c r="K48" s="383"/>
      <c r="L48" s="383"/>
      <c r="M48" s="383"/>
      <c r="N48" s="383"/>
      <c r="O48" s="383">
        <v>1</v>
      </c>
      <c r="P48" s="383"/>
      <c r="Q48" s="383">
        <v>1</v>
      </c>
      <c r="R48" s="383"/>
      <c r="S48" s="383"/>
      <c r="T48" s="383"/>
      <c r="U48" s="383"/>
      <c r="X48" s="418">
        <v>1</v>
      </c>
    </row>
    <row r="49" spans="1:112" s="1044" customFormat="1" ht="15.75">
      <c r="A49" s="184" t="s">
        <v>292</v>
      </c>
      <c r="B49" s="184"/>
      <c r="C49" s="464">
        <f>C50+C51+C52+C53</f>
        <v>0</v>
      </c>
      <c r="D49" s="464">
        <f t="shared" ref="D49:AE49" si="11">D50+D51+D52+D53</f>
        <v>1</v>
      </c>
      <c r="E49" s="464">
        <f t="shared" si="11"/>
        <v>0</v>
      </c>
      <c r="F49" s="464">
        <f t="shared" si="11"/>
        <v>2</v>
      </c>
      <c r="G49" s="464">
        <f t="shared" si="11"/>
        <v>1</v>
      </c>
      <c r="H49" s="464">
        <f t="shared" si="11"/>
        <v>1</v>
      </c>
      <c r="I49" s="464">
        <f t="shared" si="11"/>
        <v>0</v>
      </c>
      <c r="J49" s="464">
        <f t="shared" si="11"/>
        <v>1</v>
      </c>
      <c r="K49" s="464">
        <f t="shared" si="11"/>
        <v>0</v>
      </c>
      <c r="L49" s="464">
        <f t="shared" si="11"/>
        <v>0</v>
      </c>
      <c r="M49" s="464">
        <f t="shared" si="11"/>
        <v>0</v>
      </c>
      <c r="N49" s="464">
        <f t="shared" si="11"/>
        <v>0</v>
      </c>
      <c r="O49" s="464">
        <f t="shared" si="11"/>
        <v>3</v>
      </c>
      <c r="P49" s="464">
        <f t="shared" si="11"/>
        <v>0</v>
      </c>
      <c r="Q49" s="464">
        <f t="shared" si="11"/>
        <v>3</v>
      </c>
      <c r="R49" s="464">
        <f t="shared" si="11"/>
        <v>0</v>
      </c>
      <c r="S49" s="464">
        <f t="shared" si="11"/>
        <v>0</v>
      </c>
      <c r="T49" s="464">
        <f t="shared" si="11"/>
        <v>1</v>
      </c>
      <c r="U49" s="464">
        <f t="shared" si="11"/>
        <v>0</v>
      </c>
      <c r="V49" s="1044">
        <f t="shared" si="11"/>
        <v>0</v>
      </c>
      <c r="W49" s="1044">
        <f t="shared" si="11"/>
        <v>0</v>
      </c>
      <c r="X49" s="1044">
        <f t="shared" si="11"/>
        <v>11</v>
      </c>
      <c r="Y49" s="1044">
        <f t="shared" si="11"/>
        <v>0</v>
      </c>
      <c r="Z49" s="1044">
        <f t="shared" si="11"/>
        <v>0</v>
      </c>
      <c r="AA49" s="1044">
        <f t="shared" si="11"/>
        <v>0</v>
      </c>
      <c r="AB49" s="1044">
        <f t="shared" si="11"/>
        <v>0</v>
      </c>
      <c r="AC49" s="1044">
        <f t="shared" si="11"/>
        <v>0</v>
      </c>
      <c r="AD49" s="1044">
        <f t="shared" si="11"/>
        <v>0</v>
      </c>
      <c r="AE49" s="1044">
        <f t="shared" si="11"/>
        <v>0</v>
      </c>
    </row>
    <row r="50" spans="1:112" s="418" customFormat="1" ht="15.75">
      <c r="A50" s="378"/>
      <c r="B50" s="378" t="s">
        <v>293</v>
      </c>
      <c r="C50" s="383"/>
      <c r="D50" s="383">
        <v>1</v>
      </c>
      <c r="E50" s="383"/>
      <c r="F50" s="383">
        <v>1</v>
      </c>
      <c r="G50" s="383"/>
      <c r="H50" s="383">
        <v>1</v>
      </c>
      <c r="I50" s="383"/>
      <c r="J50" s="383">
        <v>1</v>
      </c>
      <c r="K50" s="383"/>
      <c r="L50" s="383"/>
      <c r="M50" s="383"/>
      <c r="N50" s="383"/>
      <c r="O50" s="383">
        <v>1</v>
      </c>
      <c r="P50" s="383"/>
      <c r="Q50" s="383">
        <v>1</v>
      </c>
      <c r="R50" s="383"/>
      <c r="S50" s="383"/>
      <c r="T50" s="383">
        <v>1</v>
      </c>
      <c r="U50" s="383"/>
      <c r="X50" s="418">
        <v>5</v>
      </c>
    </row>
    <row r="51" spans="1:112" s="54" customFormat="1" ht="31.5">
      <c r="A51" s="102"/>
      <c r="B51" s="102" t="s">
        <v>294</v>
      </c>
      <c r="C51" s="331"/>
      <c r="D51" s="331"/>
      <c r="E51" s="331"/>
      <c r="F51" s="331"/>
      <c r="G51" s="331"/>
      <c r="H51" s="331"/>
      <c r="I51" s="331"/>
      <c r="J51" s="331"/>
      <c r="K51" s="331"/>
      <c r="L51" s="331"/>
      <c r="M51" s="331"/>
      <c r="N51" s="331"/>
      <c r="O51" s="331"/>
      <c r="P51" s="331"/>
      <c r="Q51" s="331"/>
      <c r="R51" s="331"/>
      <c r="S51" s="331"/>
      <c r="T51" s="331"/>
      <c r="U51" s="331"/>
      <c r="V51" s="385"/>
      <c r="W51" s="331"/>
      <c r="X51" s="331"/>
      <c r="Y51" s="331"/>
      <c r="Z51" s="331"/>
    </row>
    <row r="52" spans="1:112" s="54" customFormat="1" ht="15.75">
      <c r="A52" s="102"/>
      <c r="B52" s="102" t="s">
        <v>295</v>
      </c>
      <c r="C52" s="331"/>
      <c r="D52" s="331"/>
      <c r="E52" s="331"/>
      <c r="F52" s="331">
        <v>1</v>
      </c>
      <c r="G52" s="331"/>
      <c r="H52" s="331"/>
      <c r="I52" s="331"/>
      <c r="J52" s="331"/>
      <c r="K52" s="331"/>
      <c r="L52" s="331"/>
      <c r="M52" s="331"/>
      <c r="N52" s="331"/>
      <c r="O52" s="331">
        <v>1</v>
      </c>
      <c r="P52" s="331"/>
      <c r="Q52" s="331">
        <v>1</v>
      </c>
      <c r="R52" s="331"/>
      <c r="S52" s="331"/>
      <c r="T52" s="331"/>
      <c r="U52" s="331"/>
      <c r="V52" s="385"/>
      <c r="W52" s="331"/>
      <c r="X52" s="331">
        <v>4</v>
      </c>
      <c r="Y52" s="331"/>
      <c r="Z52" s="331"/>
    </row>
    <row r="53" spans="1:112" s="54" customFormat="1" ht="15.75">
      <c r="A53" s="1039"/>
      <c r="B53" s="102" t="s">
        <v>296</v>
      </c>
      <c r="C53" s="331"/>
      <c r="D53" s="331"/>
      <c r="E53" s="331"/>
      <c r="F53" s="331"/>
      <c r="G53" s="331">
        <v>1</v>
      </c>
      <c r="H53" s="331"/>
      <c r="I53" s="331"/>
      <c r="J53" s="331"/>
      <c r="K53" s="331"/>
      <c r="L53" s="331"/>
      <c r="M53" s="331"/>
      <c r="N53" s="331"/>
      <c r="O53" s="331">
        <v>1</v>
      </c>
      <c r="P53" s="331"/>
      <c r="Q53" s="331">
        <v>1</v>
      </c>
      <c r="R53" s="331"/>
      <c r="S53" s="331"/>
      <c r="T53" s="331"/>
      <c r="U53" s="331"/>
      <c r="V53" s="1050"/>
      <c r="W53" s="372"/>
      <c r="X53" s="372">
        <v>2</v>
      </c>
      <c r="Y53" s="372"/>
      <c r="Z53" s="372"/>
    </row>
    <row r="54" spans="1:112" s="1038" customFormat="1">
      <c r="A54" s="1040" t="s">
        <v>863</v>
      </c>
      <c r="B54" s="1041"/>
      <c r="C54" s="1042"/>
      <c r="D54" s="1042"/>
      <c r="E54" s="1042"/>
      <c r="F54" s="1042"/>
      <c r="G54" s="1042"/>
      <c r="H54" s="1042"/>
      <c r="I54" s="1042"/>
      <c r="J54" s="1042"/>
      <c r="K54" s="1042"/>
      <c r="L54" s="1042"/>
      <c r="M54" s="1042"/>
      <c r="N54" s="1042"/>
      <c r="O54" s="1042"/>
      <c r="P54" s="1042"/>
      <c r="Q54" s="1043"/>
      <c r="R54" s="1042"/>
      <c r="S54" s="1042"/>
      <c r="T54" s="1043">
        <f>SUM(T3+T5+T10+T13+T17+T20+T23+T27+T33+T39+T45+T49)</f>
        <v>14</v>
      </c>
      <c r="U54" s="1043">
        <f t="shared" ref="U54:AA54" si="12">SUM(U3+U5+U10+U13+U17+U20+U23+U27+U33+U39+U45+U49)</f>
        <v>6</v>
      </c>
      <c r="V54" s="1043">
        <f t="shared" si="12"/>
        <v>0</v>
      </c>
      <c r="W54" s="1043">
        <f t="shared" si="12"/>
        <v>0</v>
      </c>
      <c r="X54" s="1043">
        <f t="shared" si="12"/>
        <v>65</v>
      </c>
      <c r="Y54" s="1043">
        <f t="shared" si="12"/>
        <v>3</v>
      </c>
      <c r="Z54" s="1043">
        <f t="shared" si="12"/>
        <v>2</v>
      </c>
      <c r="AA54" s="1043">
        <f t="shared" si="12"/>
        <v>0</v>
      </c>
      <c r="AB54" s="1042"/>
      <c r="AC54" s="1042"/>
      <c r="AD54" s="1042"/>
      <c r="AE54" s="1042"/>
      <c r="AF54" s="1042"/>
      <c r="AG54" s="1042"/>
      <c r="AH54" s="1042"/>
      <c r="AI54" s="1042"/>
      <c r="AJ54" s="1042"/>
      <c r="AK54" s="1042"/>
      <c r="AL54" s="1042"/>
      <c r="AM54" s="1042"/>
      <c r="AN54" s="1042"/>
      <c r="AO54" s="1042"/>
      <c r="AP54" s="1042"/>
      <c r="AQ54" s="1042"/>
      <c r="AR54" s="1042"/>
      <c r="AS54" s="1042"/>
      <c r="AT54" s="1042"/>
      <c r="AU54" s="1042"/>
      <c r="AV54" s="1042"/>
      <c r="AW54" s="1042"/>
      <c r="AX54" s="1042"/>
      <c r="AY54" s="1042"/>
      <c r="AZ54" s="1042"/>
      <c r="BA54" s="1042"/>
      <c r="BB54" s="1042"/>
      <c r="BC54" s="1042"/>
      <c r="BD54" s="1042"/>
      <c r="BE54" s="1042"/>
      <c r="BF54" s="1042"/>
      <c r="BG54" s="1042"/>
      <c r="BH54" s="1042"/>
      <c r="BI54" s="1042"/>
      <c r="BJ54" s="1042"/>
      <c r="BK54" s="1042"/>
      <c r="BL54" s="1042"/>
      <c r="BM54" s="1042"/>
      <c r="BN54" s="1042"/>
      <c r="BO54" s="1042"/>
      <c r="BP54" s="1042"/>
      <c r="BQ54" s="1042"/>
      <c r="BR54" s="1042"/>
      <c r="BS54" s="1042"/>
      <c r="BT54" s="1042"/>
      <c r="BU54" s="1042"/>
      <c r="BV54" s="1042"/>
      <c r="BW54" s="1042"/>
      <c r="BX54" s="1042"/>
      <c r="BY54" s="1042"/>
      <c r="BZ54" s="1042"/>
      <c r="CA54" s="1042"/>
      <c r="CB54" s="1042"/>
      <c r="CC54" s="1042"/>
      <c r="CD54" s="1042"/>
      <c r="CE54" s="1042"/>
      <c r="CF54" s="1042"/>
      <c r="CG54" s="1042"/>
      <c r="CH54" s="1042"/>
      <c r="CI54" s="1042"/>
      <c r="CJ54" s="1042"/>
      <c r="CK54" s="1042"/>
      <c r="CL54" s="1042"/>
      <c r="CM54" s="1042"/>
      <c r="CN54" s="1042"/>
      <c r="CO54" s="1042"/>
      <c r="CP54" s="1042"/>
      <c r="CQ54" s="1042"/>
      <c r="CR54" s="1042"/>
      <c r="CS54" s="1042"/>
      <c r="CT54" s="1042"/>
      <c r="CU54" s="1042"/>
      <c r="CV54" s="1042"/>
      <c r="CW54" s="1042"/>
      <c r="CX54" s="1042"/>
      <c r="CY54" s="1042"/>
      <c r="CZ54" s="1042"/>
      <c r="DA54" s="1042"/>
      <c r="DB54" s="1042"/>
      <c r="DC54" s="1042"/>
      <c r="DD54" s="1042"/>
      <c r="DE54" s="1042"/>
      <c r="DF54" s="1042"/>
      <c r="DG54" s="1042"/>
      <c r="DH54" s="1042"/>
    </row>
    <row r="55" spans="1:112" s="54" customFormat="1">
      <c r="A55" s="373"/>
      <c r="B55" s="374"/>
    </row>
    <row r="56" spans="1:112" ht="15.75">
      <c r="A56" s="331"/>
      <c r="B56" s="331"/>
      <c r="C56" s="1286" t="s">
        <v>160</v>
      </c>
      <c r="D56" s="1286"/>
      <c r="E56" s="1286"/>
    </row>
    <row r="57" spans="1:112" ht="15.75" customHeight="1">
      <c r="A57" s="331"/>
      <c r="B57" s="331"/>
      <c r="C57" s="375" t="s">
        <v>161</v>
      </c>
      <c r="D57" s="375" t="s">
        <v>162</v>
      </c>
      <c r="E57" s="375" t="s">
        <v>163</v>
      </c>
    </row>
    <row r="58" spans="1:112" ht="15.75">
      <c r="A58" s="331"/>
      <c r="B58" s="331"/>
      <c r="C58" s="375"/>
      <c r="D58" s="375"/>
      <c r="E58" s="375"/>
    </row>
    <row r="59" spans="1:112" ht="31.5">
      <c r="A59" s="376" t="s">
        <v>151</v>
      </c>
      <c r="B59" s="49">
        <f>F35+G35</f>
        <v>1</v>
      </c>
      <c r="C59" s="243"/>
      <c r="D59" s="243"/>
      <c r="E59" s="243"/>
    </row>
    <row r="60" spans="1:112" ht="15.75">
      <c r="A60" s="376" t="s">
        <v>152</v>
      </c>
      <c r="B60" s="243"/>
      <c r="C60" s="243"/>
      <c r="D60" s="243"/>
      <c r="E60" s="243"/>
    </row>
    <row r="61" spans="1:112" ht="15.75">
      <c r="A61" s="376" t="s">
        <v>153</v>
      </c>
      <c r="B61" s="49">
        <f>M35</f>
        <v>0</v>
      </c>
      <c r="C61" s="243"/>
      <c r="D61" s="243"/>
      <c r="E61" s="243"/>
    </row>
    <row r="62" spans="1:112" ht="15.75">
      <c r="A62" s="376" t="s">
        <v>154</v>
      </c>
      <c r="B62" s="49">
        <f>L35</f>
        <v>0</v>
      </c>
      <c r="C62" s="243"/>
      <c r="D62" s="243"/>
      <c r="E62" s="243"/>
    </row>
    <row r="63" spans="1:112" ht="15.75">
      <c r="A63" s="376" t="s">
        <v>155</v>
      </c>
      <c r="B63" s="243"/>
      <c r="C63" s="243"/>
      <c r="D63" s="243"/>
      <c r="E63" s="243"/>
    </row>
    <row r="64" spans="1:112" ht="15.75">
      <c r="A64" s="376" t="s">
        <v>156</v>
      </c>
      <c r="B64" s="49">
        <f>P35</f>
        <v>0</v>
      </c>
      <c r="C64" s="243"/>
      <c r="D64" s="243"/>
      <c r="E64" s="243"/>
    </row>
    <row r="65" spans="1:5" ht="31.5">
      <c r="A65" s="376" t="s">
        <v>157</v>
      </c>
      <c r="B65" s="49">
        <f>R35</f>
        <v>0</v>
      </c>
      <c r="C65" s="243"/>
      <c r="D65" s="243"/>
      <c r="E65" s="243"/>
    </row>
    <row r="66" spans="1:5" ht="31.5">
      <c r="A66" s="376" t="s">
        <v>158</v>
      </c>
      <c r="B66" s="49">
        <f>Q35</f>
        <v>1</v>
      </c>
      <c r="C66" s="243"/>
      <c r="D66" s="243"/>
      <c r="E66" s="243"/>
    </row>
    <row r="67" spans="1:5" ht="31.5">
      <c r="A67" s="376" t="s">
        <v>169</v>
      </c>
      <c r="B67" s="360">
        <f>Y35</f>
        <v>0</v>
      </c>
      <c r="C67" s="243"/>
      <c r="D67" s="243"/>
      <c r="E67" s="243"/>
    </row>
    <row r="68" spans="1:5" ht="15.75">
      <c r="A68" s="376" t="s">
        <v>170</v>
      </c>
      <c r="B68" s="360">
        <f>W35</f>
        <v>0</v>
      </c>
      <c r="C68" s="243"/>
      <c r="D68" s="243"/>
      <c r="E68" s="243"/>
    </row>
    <row r="69" spans="1:5" ht="15.75">
      <c r="A69" s="376" t="s">
        <v>171</v>
      </c>
      <c r="B69" s="360">
        <f>X35</f>
        <v>0</v>
      </c>
      <c r="C69" s="243"/>
      <c r="D69" s="243"/>
      <c r="E69" s="243"/>
    </row>
  </sheetData>
  <mergeCells count="2">
    <mergeCell ref="C1:J1"/>
    <mergeCell ref="C56:E56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R672"/>
  <sheetViews>
    <sheetView topLeftCell="A154" zoomScaleSheetLayoutView="100" workbookViewId="0">
      <selection activeCell="I1" sqref="I1:I1048576"/>
    </sheetView>
  </sheetViews>
  <sheetFormatPr defaultRowHeight="15"/>
  <cols>
    <col min="1" max="1" width="1.5703125" style="18" customWidth="1"/>
    <col min="2" max="2" width="6" style="34" customWidth="1"/>
    <col min="3" max="3" width="23.85546875" style="11" customWidth="1"/>
    <col min="4" max="4" width="15.7109375" style="406" customWidth="1"/>
    <col min="5" max="5" width="6.85546875" style="11" customWidth="1"/>
    <col min="6" max="6" width="5" style="11" customWidth="1"/>
    <col min="7" max="7" width="13.42578125" style="11" customWidth="1"/>
    <col min="8" max="8" width="8.28515625" style="11" customWidth="1"/>
    <col min="9" max="10" width="6.5703125" style="11" customWidth="1"/>
    <col min="11" max="11" width="6.140625" style="35" customWidth="1"/>
    <col min="12" max="12" width="6.140625" style="33" customWidth="1"/>
    <col min="13" max="13" width="9.140625" style="18" customWidth="1"/>
    <col min="14" max="14" width="39.42578125" style="18" customWidth="1"/>
    <col min="15" max="15" width="13.140625" style="18" customWidth="1"/>
    <col min="16" max="17" width="10.28515625" style="18" customWidth="1"/>
    <col min="18" max="18" width="11" style="18" customWidth="1"/>
    <col min="19" max="19" width="13.28515625" style="18" customWidth="1"/>
    <col min="20" max="20" width="14.28515625" style="18" customWidth="1"/>
    <col min="21" max="21" width="16.5703125" style="18" customWidth="1"/>
    <col min="22" max="44" width="9.140625" style="18"/>
    <col min="45" max="16384" width="9.140625" style="11"/>
  </cols>
  <sheetData>
    <row r="1" spans="1:44" ht="41.25" customHeight="1">
      <c r="B1" s="389" t="s">
        <v>2</v>
      </c>
      <c r="C1" s="390" t="s">
        <v>200</v>
      </c>
      <c r="D1" s="390"/>
      <c r="E1" s="389" t="s">
        <v>201</v>
      </c>
      <c r="F1" s="389" t="s">
        <v>202</v>
      </c>
      <c r="G1" s="391" t="s">
        <v>203</v>
      </c>
      <c r="H1" s="389" t="s">
        <v>204</v>
      </c>
      <c r="I1" s="392" t="s">
        <v>24</v>
      </c>
      <c r="J1" s="392" t="s">
        <v>18</v>
      </c>
      <c r="K1" s="393" t="s">
        <v>205</v>
      </c>
      <c r="L1" s="1" t="s">
        <v>224</v>
      </c>
      <c r="M1" s="80"/>
      <c r="N1" s="72" t="s">
        <v>159</v>
      </c>
      <c r="O1" s="72" t="s">
        <v>206</v>
      </c>
      <c r="P1" s="72" t="s">
        <v>207</v>
      </c>
      <c r="Q1" s="72"/>
      <c r="R1" s="72" t="s">
        <v>208</v>
      </c>
      <c r="S1" s="72" t="s">
        <v>209</v>
      </c>
      <c r="T1" s="72" t="s">
        <v>210</v>
      </c>
      <c r="U1" s="80"/>
    </row>
    <row r="2" spans="1:44" s="32" customFormat="1" ht="30.75" customHeight="1">
      <c r="A2" s="18"/>
      <c r="B2" s="1289" t="s">
        <v>302</v>
      </c>
      <c r="C2" s="205"/>
      <c r="D2" s="399"/>
      <c r="E2" s="466"/>
      <c r="F2" s="467"/>
      <c r="G2" s="468"/>
      <c r="H2" s="468"/>
      <c r="I2" s="469"/>
      <c r="J2" s="469"/>
      <c r="K2" s="468"/>
      <c r="L2" s="468"/>
      <c r="M2" s="81"/>
      <c r="N2" s="82" t="s">
        <v>147</v>
      </c>
      <c r="O2" s="83"/>
      <c r="P2" s="84" t="e">
        <f>#REF!+#REF!+G282+G300+G352+#REF!</f>
        <v>#REF!</v>
      </c>
      <c r="Q2" s="84" t="e">
        <f>#REF!+#REF!+H282+H300+H352+#REF!</f>
        <v>#REF!</v>
      </c>
      <c r="R2" s="85"/>
      <c r="S2" s="86"/>
      <c r="T2" s="86"/>
      <c r="U2" s="87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</row>
    <row r="3" spans="1:44" ht="15.75">
      <c r="B3" s="1290"/>
      <c r="C3" s="139" t="s">
        <v>302</v>
      </c>
      <c r="D3" s="400"/>
      <c r="E3" s="36"/>
      <c r="F3" s="37"/>
      <c r="G3" s="38"/>
      <c r="H3" s="38"/>
      <c r="I3" s="39"/>
      <c r="J3" s="39"/>
      <c r="K3" s="38"/>
      <c r="L3" s="38"/>
      <c r="M3" s="88"/>
      <c r="N3" s="82" t="s">
        <v>211</v>
      </c>
      <c r="O3" s="89"/>
      <c r="P3" s="90" t="e">
        <f>#REF!+G130+G187+G239+#REF!+G299+#REF!+#REF!+#REF!+#REF!+G350+G351+G358+#REF!+#REF!+#REF!</f>
        <v>#REF!</v>
      </c>
      <c r="Q3" s="90"/>
      <c r="R3" s="91"/>
      <c r="S3" s="89"/>
      <c r="T3" s="92"/>
      <c r="U3" s="93"/>
    </row>
    <row r="4" spans="1:44" ht="31.5">
      <c r="B4" s="1290"/>
      <c r="C4" s="332"/>
      <c r="D4" s="400" t="s">
        <v>402</v>
      </c>
      <c r="E4" s="394">
        <v>1983</v>
      </c>
      <c r="F4" s="395">
        <v>70</v>
      </c>
      <c r="G4" s="396"/>
      <c r="H4" s="396"/>
      <c r="I4" s="397"/>
      <c r="J4" s="397"/>
      <c r="K4" s="38"/>
      <c r="L4" s="38"/>
      <c r="M4" s="88"/>
      <c r="N4" s="82" t="s">
        <v>148</v>
      </c>
      <c r="O4" s="89"/>
      <c r="P4" s="94"/>
      <c r="Q4" s="94"/>
      <c r="R4" s="91"/>
      <c r="S4" s="89"/>
      <c r="T4" s="92"/>
      <c r="U4" s="93"/>
    </row>
    <row r="5" spans="1:44" ht="15.75">
      <c r="B5" s="1290"/>
      <c r="C5" s="332"/>
      <c r="D5" s="400" t="s">
        <v>541</v>
      </c>
      <c r="E5" s="394">
        <v>1971</v>
      </c>
      <c r="F5" s="395">
        <v>45</v>
      </c>
      <c r="G5" s="396"/>
      <c r="H5" s="396"/>
      <c r="I5" s="397"/>
      <c r="J5" s="397"/>
      <c r="K5" s="38"/>
      <c r="L5" s="38"/>
      <c r="M5" s="88"/>
      <c r="N5" s="82" t="s">
        <v>213</v>
      </c>
      <c r="O5" s="89"/>
      <c r="P5" s="94"/>
      <c r="Q5" s="94"/>
      <c r="R5" s="91"/>
      <c r="S5" s="89"/>
      <c r="T5" s="92"/>
      <c r="U5" s="93"/>
    </row>
    <row r="6" spans="1:44" ht="15.75">
      <c r="B6" s="1290"/>
      <c r="C6" s="332"/>
      <c r="D6" s="400" t="s">
        <v>403</v>
      </c>
      <c r="E6" s="394">
        <v>1987</v>
      </c>
      <c r="F6" s="395">
        <v>36</v>
      </c>
      <c r="G6" s="396">
        <v>120</v>
      </c>
      <c r="H6" s="396">
        <v>145</v>
      </c>
      <c r="I6" s="397" t="s">
        <v>501</v>
      </c>
      <c r="J6" s="397"/>
      <c r="K6" s="396">
        <v>42</v>
      </c>
      <c r="L6" s="38"/>
      <c r="M6" s="88"/>
      <c r="N6" s="82" t="s">
        <v>149</v>
      </c>
      <c r="O6" s="89"/>
      <c r="P6" s="95" t="e">
        <f>L55+L133+L193+L241+L273+L287+L292+L302+L315+L334+#REF!+#REF!+#REF!+#REF!+L359+#REF!+#REF!+#REF!</f>
        <v>#REF!</v>
      </c>
      <c r="Q6" s="95"/>
      <c r="R6" s="91"/>
      <c r="S6" s="89"/>
      <c r="T6" s="92"/>
      <c r="U6" s="93"/>
    </row>
    <row r="7" spans="1:44" ht="15.75">
      <c r="B7" s="1290"/>
      <c r="C7" s="332"/>
      <c r="D7" s="400" t="s">
        <v>404</v>
      </c>
      <c r="E7" s="394">
        <v>1959</v>
      </c>
      <c r="F7" s="395">
        <v>78</v>
      </c>
      <c r="G7" s="396">
        <v>65</v>
      </c>
      <c r="H7" s="396">
        <v>75</v>
      </c>
      <c r="I7" s="397" t="s">
        <v>501</v>
      </c>
      <c r="J7" s="397"/>
      <c r="K7" s="396">
        <v>22</v>
      </c>
      <c r="L7" s="38"/>
      <c r="M7" s="88"/>
      <c r="N7" s="82" t="s">
        <v>150</v>
      </c>
      <c r="O7" s="89"/>
      <c r="P7" s="94">
        <v>1</v>
      </c>
      <c r="Q7" s="94"/>
      <c r="R7" s="91"/>
      <c r="S7" s="89"/>
      <c r="T7" s="92"/>
      <c r="U7" s="93"/>
    </row>
    <row r="8" spans="1:44" ht="15.75">
      <c r="B8" s="1290"/>
      <c r="C8" s="332"/>
      <c r="D8" s="400" t="s">
        <v>405</v>
      </c>
      <c r="E8" s="394">
        <v>1965</v>
      </c>
      <c r="F8" s="395">
        <v>69</v>
      </c>
      <c r="G8" s="396">
        <v>75</v>
      </c>
      <c r="H8" s="396">
        <v>85</v>
      </c>
      <c r="I8" s="397" t="s">
        <v>501</v>
      </c>
      <c r="J8" s="397"/>
      <c r="K8" s="396">
        <v>22</v>
      </c>
      <c r="L8" s="38"/>
      <c r="M8" s="88"/>
      <c r="N8" s="82" t="s">
        <v>214</v>
      </c>
      <c r="O8" s="89"/>
      <c r="P8" s="95" t="e">
        <f>L38+#REF!+L120+L192+#REF!+L262+L286+L291+L298+L314+L328+L330+#REF!+#REF!+#REF!+L346+L357+#REF!+#REF!+#REF!</f>
        <v>#REF!</v>
      </c>
      <c r="Q8" s="95"/>
      <c r="R8" s="91"/>
      <c r="S8" s="89"/>
      <c r="T8" s="92"/>
      <c r="U8" s="93"/>
    </row>
    <row r="9" spans="1:44" ht="15.75">
      <c r="B9" s="1290"/>
      <c r="C9" s="332"/>
      <c r="D9" s="400" t="s">
        <v>406</v>
      </c>
      <c r="E9" s="394">
        <v>1969</v>
      </c>
      <c r="F9" s="395">
        <v>63</v>
      </c>
      <c r="G9" s="396">
        <v>655</v>
      </c>
      <c r="H9" s="396">
        <v>560</v>
      </c>
      <c r="I9" s="397">
        <v>174</v>
      </c>
      <c r="J9" s="397" t="s">
        <v>445</v>
      </c>
      <c r="K9" s="396">
        <v>61</v>
      </c>
      <c r="L9" s="38"/>
      <c r="M9" s="88"/>
      <c r="N9" s="82" t="s">
        <v>155</v>
      </c>
      <c r="O9" s="89"/>
      <c r="P9" s="94"/>
      <c r="Q9" s="94"/>
      <c r="R9" s="91"/>
      <c r="S9" s="89"/>
      <c r="T9" s="92"/>
      <c r="U9" s="93"/>
    </row>
    <row r="10" spans="1:44" ht="15.75">
      <c r="B10" s="1290"/>
      <c r="C10" s="528"/>
      <c r="D10" s="400" t="s">
        <v>506</v>
      </c>
      <c r="E10" s="394">
        <v>1959</v>
      </c>
      <c r="F10" s="395">
        <v>78</v>
      </c>
      <c r="G10" s="396"/>
      <c r="H10" s="396"/>
      <c r="I10" s="397"/>
      <c r="J10" s="397"/>
      <c r="K10" s="396"/>
      <c r="L10" s="38"/>
      <c r="M10" s="88"/>
      <c r="N10" s="82"/>
      <c r="O10" s="89"/>
      <c r="P10" s="94"/>
      <c r="Q10" s="94"/>
      <c r="R10" s="91"/>
      <c r="S10" s="89"/>
      <c r="T10" s="92"/>
      <c r="U10" s="93"/>
    </row>
    <row r="11" spans="1:44" ht="15.75">
      <c r="B11" s="1290"/>
      <c r="C11" s="332"/>
      <c r="D11" s="400" t="s">
        <v>407</v>
      </c>
      <c r="E11" s="394">
        <v>1981</v>
      </c>
      <c r="F11" s="395">
        <v>45</v>
      </c>
      <c r="G11" s="396">
        <v>784</v>
      </c>
      <c r="H11" s="396">
        <v>308</v>
      </c>
      <c r="I11" s="397">
        <v>276</v>
      </c>
      <c r="J11" s="397" t="s">
        <v>442</v>
      </c>
      <c r="K11" s="396">
        <v>48</v>
      </c>
      <c r="L11" s="38"/>
      <c r="M11" s="88"/>
      <c r="N11" s="82" t="s">
        <v>156</v>
      </c>
      <c r="O11" s="89"/>
      <c r="P11" s="95" t="e">
        <f>#REF!+#REF!</f>
        <v>#REF!</v>
      </c>
      <c r="Q11" s="95"/>
      <c r="R11" s="91"/>
      <c r="S11" s="89"/>
      <c r="T11" s="92"/>
      <c r="U11" s="93"/>
    </row>
    <row r="12" spans="1:44" ht="15.75">
      <c r="B12" s="1290"/>
      <c r="C12" s="332"/>
      <c r="D12" s="400" t="s">
        <v>408</v>
      </c>
      <c r="E12" s="394">
        <v>1958</v>
      </c>
      <c r="F12" s="395">
        <v>80</v>
      </c>
      <c r="G12" s="396">
        <v>192</v>
      </c>
      <c r="H12" s="396">
        <v>104</v>
      </c>
      <c r="I12" s="397">
        <v>150</v>
      </c>
      <c r="J12" s="397">
        <v>0.5</v>
      </c>
      <c r="K12" s="396">
        <v>33</v>
      </c>
      <c r="L12" s="38"/>
      <c r="M12" s="88"/>
      <c r="N12" s="82" t="s">
        <v>216</v>
      </c>
      <c r="O12" s="89"/>
      <c r="P12" s="94"/>
      <c r="Q12" s="94"/>
      <c r="R12" s="91"/>
      <c r="S12" s="89"/>
      <c r="T12" s="92"/>
      <c r="U12" s="93"/>
    </row>
    <row r="13" spans="1:44" ht="15.75">
      <c r="B13" s="1290"/>
      <c r="C13" s="528"/>
      <c r="D13" s="400" t="s">
        <v>506</v>
      </c>
      <c r="E13" s="394">
        <v>1968</v>
      </c>
      <c r="F13" s="395">
        <v>65</v>
      </c>
      <c r="G13" s="396"/>
      <c r="H13" s="396"/>
      <c r="I13" s="397"/>
      <c r="J13" s="397"/>
      <c r="K13" s="396"/>
      <c r="L13" s="38"/>
      <c r="M13" s="88"/>
      <c r="N13" s="82"/>
      <c r="O13" s="89"/>
      <c r="P13" s="94"/>
      <c r="Q13" s="94"/>
      <c r="R13" s="91"/>
      <c r="S13" s="89"/>
      <c r="T13" s="92"/>
      <c r="U13" s="93"/>
    </row>
    <row r="14" spans="1:44" ht="15.75">
      <c r="B14" s="1290"/>
      <c r="C14" s="525"/>
      <c r="D14" s="400" t="s">
        <v>10</v>
      </c>
      <c r="E14" s="394">
        <v>1958</v>
      </c>
      <c r="F14" s="395">
        <v>80</v>
      </c>
      <c r="G14" s="396"/>
      <c r="H14" s="396"/>
      <c r="I14" s="397"/>
      <c r="J14" s="397"/>
      <c r="K14" s="396"/>
      <c r="L14" s="38"/>
      <c r="M14" s="88"/>
      <c r="N14" s="82"/>
      <c r="O14" s="89"/>
      <c r="P14" s="94"/>
      <c r="Q14" s="94"/>
      <c r="R14" s="91"/>
      <c r="S14" s="89"/>
      <c r="T14" s="92"/>
      <c r="U14" s="93"/>
    </row>
    <row r="15" spans="1:44" ht="25.5">
      <c r="B15" s="1290"/>
      <c r="C15" s="332"/>
      <c r="D15" s="400" t="s">
        <v>165</v>
      </c>
      <c r="E15" s="394">
        <v>1994</v>
      </c>
      <c r="F15" s="395"/>
      <c r="G15" s="396">
        <v>136</v>
      </c>
      <c r="H15" s="396">
        <v>99</v>
      </c>
      <c r="I15" s="397"/>
      <c r="J15" s="397"/>
      <c r="K15" s="38"/>
      <c r="L15" s="38"/>
      <c r="M15" s="88"/>
      <c r="N15" s="82" t="s">
        <v>217</v>
      </c>
      <c r="O15" s="89"/>
      <c r="P15" s="94" t="e">
        <f>#REF!</f>
        <v>#REF!</v>
      </c>
      <c r="Q15" s="94"/>
      <c r="R15" s="91"/>
      <c r="S15" s="89"/>
      <c r="T15" s="92"/>
      <c r="U15" s="93"/>
    </row>
    <row r="16" spans="1:44" ht="15.75">
      <c r="B16" s="1290"/>
      <c r="C16" s="332"/>
      <c r="D16" s="400" t="s">
        <v>409</v>
      </c>
      <c r="E16" s="394">
        <v>1969</v>
      </c>
      <c r="F16" s="395">
        <v>63</v>
      </c>
      <c r="G16" s="396"/>
      <c r="H16" s="396">
        <v>75</v>
      </c>
      <c r="I16" s="397"/>
      <c r="J16" s="397"/>
      <c r="K16" s="1287">
        <v>28</v>
      </c>
      <c r="L16" s="38"/>
      <c r="M16" s="88"/>
      <c r="N16" s="82" t="s">
        <v>219</v>
      </c>
      <c r="O16" s="89"/>
      <c r="P16" s="95">
        <f>L134+L303</f>
        <v>0</v>
      </c>
      <c r="Q16" s="95"/>
      <c r="R16" s="91"/>
      <c r="S16" s="89"/>
      <c r="T16" s="92"/>
      <c r="U16" s="93"/>
    </row>
    <row r="17" spans="2:21" ht="15.75">
      <c r="B17" s="1290"/>
      <c r="C17" s="332"/>
      <c r="D17" s="400" t="s">
        <v>24</v>
      </c>
      <c r="E17" s="394">
        <v>1996</v>
      </c>
      <c r="F17" s="395">
        <v>23</v>
      </c>
      <c r="G17" s="396"/>
      <c r="H17" s="396"/>
      <c r="I17" s="397">
        <v>171.5</v>
      </c>
      <c r="J17" s="397"/>
      <c r="K17" s="1288"/>
      <c r="L17" s="38"/>
      <c r="M17" s="88"/>
      <c r="N17" s="82" t="s">
        <v>158</v>
      </c>
      <c r="O17" s="89"/>
      <c r="P17" s="95" t="e">
        <f>L56+L91+L204+L240+L275+L288+L294+#REF!+#REF!+#REF!+#REF!+L353+#REF!</f>
        <v>#REF!</v>
      </c>
      <c r="Q17" s="95"/>
      <c r="R17" s="91"/>
      <c r="S17" s="89"/>
      <c r="T17" s="92"/>
      <c r="U17" s="93"/>
    </row>
    <row r="18" spans="2:21" ht="15.75">
      <c r="B18" s="1290"/>
      <c r="C18" s="332"/>
      <c r="D18" s="400" t="s">
        <v>246</v>
      </c>
      <c r="E18" s="394"/>
      <c r="F18" s="395"/>
      <c r="G18" s="396"/>
      <c r="H18" s="396"/>
      <c r="I18" s="397"/>
      <c r="J18" s="397"/>
      <c r="K18" s="38"/>
      <c r="L18" s="38"/>
      <c r="M18" s="88"/>
      <c r="N18" s="82" t="s">
        <v>220</v>
      </c>
      <c r="O18" s="89"/>
      <c r="P18" s="95" t="e">
        <f>L145+#REF!+L335+#REF!</f>
        <v>#REF!</v>
      </c>
      <c r="Q18" s="95"/>
      <c r="R18" s="91"/>
      <c r="S18" s="89"/>
      <c r="T18" s="92"/>
      <c r="U18" s="93"/>
    </row>
    <row r="19" spans="2:21" ht="25.5">
      <c r="B19" s="1290"/>
      <c r="C19" s="332"/>
      <c r="D19" s="400" t="s">
        <v>410</v>
      </c>
      <c r="E19" s="394">
        <v>1963</v>
      </c>
      <c r="F19" s="395">
        <v>72</v>
      </c>
      <c r="G19" s="396">
        <v>680</v>
      </c>
      <c r="H19" s="396">
        <v>590</v>
      </c>
      <c r="I19" s="397" t="s">
        <v>501</v>
      </c>
      <c r="J19" s="397"/>
      <c r="K19" s="396">
        <v>29</v>
      </c>
      <c r="L19" s="38"/>
      <c r="M19" s="88"/>
      <c r="N19" s="82"/>
      <c r="O19" s="89"/>
      <c r="P19" s="95"/>
      <c r="Q19" s="95"/>
      <c r="R19" s="91"/>
      <c r="S19" s="89"/>
      <c r="T19" s="92"/>
      <c r="U19" s="93"/>
    </row>
    <row r="20" spans="2:21" ht="15.75">
      <c r="B20" s="1290"/>
      <c r="C20" s="332"/>
      <c r="D20" s="400" t="s">
        <v>10</v>
      </c>
      <c r="E20" s="394"/>
      <c r="F20" s="395">
        <v>57</v>
      </c>
      <c r="G20" s="396"/>
      <c r="H20" s="411" t="s">
        <v>417</v>
      </c>
      <c r="I20" s="397"/>
      <c r="J20" s="397"/>
      <c r="K20" s="38"/>
      <c r="L20" s="38"/>
      <c r="M20" s="88"/>
      <c r="N20" s="82" t="s">
        <v>166</v>
      </c>
      <c r="O20" s="89"/>
      <c r="P20" s="95" t="e">
        <f>L3+L113+L261+L297+#REF!+#REF!+#REF!+#REF!+#REF!+#REF!</f>
        <v>#REF!</v>
      </c>
      <c r="Q20" s="95"/>
      <c r="R20" s="91"/>
      <c r="S20" s="89"/>
      <c r="T20" s="92"/>
      <c r="U20" s="93"/>
    </row>
    <row r="21" spans="2:21" ht="15.75">
      <c r="B21" s="1290"/>
      <c r="C21" s="332"/>
      <c r="D21" s="400" t="s">
        <v>411</v>
      </c>
      <c r="E21" s="394">
        <v>1959</v>
      </c>
      <c r="F21" s="395"/>
      <c r="G21" s="396"/>
      <c r="H21" s="396" t="s">
        <v>415</v>
      </c>
      <c r="I21" s="397"/>
      <c r="J21" s="397"/>
      <c r="K21" s="38"/>
      <c r="L21" s="38"/>
      <c r="M21" s="88"/>
      <c r="N21" s="82" t="s">
        <v>221</v>
      </c>
      <c r="O21" s="89"/>
      <c r="P21" s="95" t="e">
        <f>L148+L194+L283+L304+#REF!+#REF!+L336+L337+#REF!+#REF!+#REF!</f>
        <v>#REF!</v>
      </c>
      <c r="Q21" s="95"/>
      <c r="R21" s="91"/>
      <c r="S21" s="89"/>
      <c r="T21" s="92"/>
      <c r="U21" s="93"/>
    </row>
    <row r="22" spans="2:21" ht="15.75">
      <c r="B22" s="1290"/>
      <c r="C22" s="332"/>
      <c r="D22" s="400" t="s">
        <v>215</v>
      </c>
      <c r="E22" s="394">
        <v>1962</v>
      </c>
      <c r="F22" s="395">
        <v>50</v>
      </c>
      <c r="G22" s="396">
        <v>400</v>
      </c>
      <c r="H22" s="396"/>
      <c r="I22" s="397"/>
      <c r="J22" s="397"/>
      <c r="K22" s="38"/>
      <c r="L22" s="38"/>
      <c r="M22" s="88"/>
      <c r="N22" s="82" t="s">
        <v>222</v>
      </c>
      <c r="O22" s="89"/>
      <c r="P22" s="95" t="e">
        <f>L284+#REF!</f>
        <v>#REF!</v>
      </c>
      <c r="Q22" s="95"/>
      <c r="R22" s="91"/>
      <c r="S22" s="89"/>
      <c r="T22" s="92"/>
      <c r="U22" s="93"/>
    </row>
    <row r="23" spans="2:21">
      <c r="B23" s="1290"/>
      <c r="C23" s="332"/>
      <c r="D23" s="400" t="s">
        <v>412</v>
      </c>
      <c r="E23" s="394">
        <v>1960</v>
      </c>
      <c r="F23" s="395"/>
      <c r="G23" s="396"/>
      <c r="H23" s="396"/>
      <c r="I23" s="397"/>
      <c r="J23" s="397"/>
      <c r="K23" s="38"/>
      <c r="L23" s="38"/>
      <c r="M23" s="88"/>
      <c r="N23" s="88"/>
      <c r="O23" s="88"/>
      <c r="P23" s="88"/>
      <c r="Q23" s="88"/>
      <c r="R23" s="88"/>
      <c r="S23" s="93"/>
      <c r="T23" s="93"/>
      <c r="U23" s="93"/>
    </row>
    <row r="24" spans="2:21">
      <c r="B24" s="1290"/>
      <c r="C24" s="332"/>
      <c r="D24" s="400" t="s">
        <v>458</v>
      </c>
      <c r="E24" s="36"/>
      <c r="F24" s="37"/>
      <c r="G24" s="38"/>
      <c r="H24" s="38"/>
      <c r="I24" s="39"/>
      <c r="J24" s="39"/>
      <c r="K24" s="38"/>
      <c r="L24" s="38"/>
      <c r="M24" s="88"/>
      <c r="N24" s="88"/>
      <c r="O24" s="88"/>
      <c r="P24" s="88"/>
      <c r="Q24" s="88"/>
      <c r="R24" s="88"/>
      <c r="S24" s="93"/>
      <c r="T24" s="93"/>
      <c r="U24" s="93"/>
    </row>
    <row r="25" spans="2:21" ht="25.5">
      <c r="B25" s="1291"/>
      <c r="C25" s="332"/>
      <c r="D25" s="400" t="s">
        <v>413</v>
      </c>
      <c r="E25" s="36"/>
      <c r="F25" s="37"/>
      <c r="G25" s="38"/>
      <c r="H25" s="38"/>
      <c r="I25" s="39"/>
      <c r="J25" s="39"/>
      <c r="K25" s="38"/>
      <c r="L25" s="38"/>
      <c r="M25" s="88"/>
      <c r="N25" s="88"/>
      <c r="O25" s="88"/>
      <c r="P25" s="88"/>
      <c r="Q25" s="88"/>
      <c r="R25" s="88"/>
      <c r="S25" s="93"/>
      <c r="T25" s="93"/>
      <c r="U25" s="93"/>
    </row>
    <row r="26" spans="2:21">
      <c r="B26" s="470"/>
      <c r="C26" s="332"/>
      <c r="D26" s="400" t="s">
        <v>414</v>
      </c>
      <c r="E26" s="36"/>
      <c r="F26" s="37"/>
      <c r="G26" s="38"/>
      <c r="H26" s="38"/>
      <c r="I26" s="39"/>
      <c r="J26" s="39"/>
      <c r="K26" s="38"/>
      <c r="L26" s="38"/>
      <c r="M26" s="88"/>
      <c r="N26" s="88"/>
      <c r="O26" s="81"/>
      <c r="P26" s="88"/>
      <c r="Q26" s="88"/>
      <c r="R26" s="96"/>
      <c r="S26" s="87"/>
      <c r="T26" s="87"/>
      <c r="U26" s="93"/>
    </row>
    <row r="27" spans="2:21">
      <c r="B27" s="470"/>
      <c r="C27" s="332"/>
      <c r="D27" s="400" t="s">
        <v>13</v>
      </c>
      <c r="E27" s="36"/>
      <c r="F27" s="37"/>
      <c r="G27" s="38"/>
      <c r="H27" s="38"/>
      <c r="I27" s="39"/>
      <c r="J27" s="39"/>
      <c r="K27" s="38"/>
      <c r="L27" s="38"/>
      <c r="M27" s="88"/>
      <c r="N27" s="88"/>
      <c r="O27" s="81"/>
      <c r="P27" s="88"/>
      <c r="Q27" s="88"/>
      <c r="R27" s="96"/>
      <c r="S27" s="87"/>
      <c r="T27" s="87"/>
      <c r="U27" s="93"/>
    </row>
    <row r="28" spans="2:21">
      <c r="B28" s="470"/>
      <c r="C28" s="332"/>
      <c r="D28" s="400" t="s">
        <v>218</v>
      </c>
      <c r="E28" s="36"/>
      <c r="F28" s="37"/>
      <c r="G28" s="38"/>
      <c r="H28" s="38"/>
      <c r="I28" s="39"/>
      <c r="J28" s="39"/>
      <c r="K28" s="38"/>
      <c r="L28" s="38"/>
      <c r="M28" s="88"/>
      <c r="N28" s="88"/>
      <c r="O28" s="81"/>
      <c r="P28" s="88"/>
      <c r="Q28" s="88"/>
      <c r="R28" s="96"/>
      <c r="S28" s="87"/>
      <c r="T28" s="87"/>
      <c r="U28" s="93"/>
    </row>
    <row r="29" spans="2:21">
      <c r="B29" s="470"/>
      <c r="C29" s="332"/>
      <c r="D29" s="400" t="s">
        <v>20</v>
      </c>
      <c r="E29" s="36"/>
      <c r="F29" s="37">
        <v>30</v>
      </c>
      <c r="G29" s="38" t="s">
        <v>418</v>
      </c>
      <c r="H29" s="38"/>
      <c r="I29" s="39"/>
      <c r="J29" s="39"/>
      <c r="K29" s="38"/>
      <c r="L29" s="38"/>
      <c r="M29" s="88"/>
      <c r="N29" s="88"/>
      <c r="O29" s="81"/>
      <c r="P29" s="88"/>
      <c r="Q29" s="88"/>
      <c r="R29" s="96"/>
      <c r="S29" s="87"/>
      <c r="T29" s="87"/>
      <c r="U29" s="93"/>
    </row>
    <row r="30" spans="2:21">
      <c r="B30" s="470"/>
      <c r="C30" s="332"/>
      <c r="D30" s="400" t="s">
        <v>355</v>
      </c>
      <c r="E30" s="36"/>
      <c r="F30" s="37">
        <v>60</v>
      </c>
      <c r="G30" s="38"/>
      <c r="H30" s="38"/>
      <c r="I30" s="39"/>
      <c r="J30" s="39"/>
      <c r="K30" s="38"/>
      <c r="L30" s="38"/>
      <c r="M30" s="88"/>
      <c r="N30" s="88"/>
      <c r="O30" s="81"/>
      <c r="P30" s="88"/>
      <c r="Q30" s="88"/>
      <c r="R30" s="96"/>
      <c r="S30" s="87"/>
      <c r="T30" s="87"/>
      <c r="U30" s="93"/>
    </row>
    <row r="31" spans="2:21" ht="38.25">
      <c r="B31" s="527"/>
      <c r="C31" s="525"/>
      <c r="D31" s="400" t="s">
        <v>459</v>
      </c>
      <c r="E31" s="36"/>
      <c r="F31" s="37"/>
      <c r="G31" s="38"/>
      <c r="H31" s="38"/>
      <c r="I31" s="39"/>
      <c r="J31" s="39"/>
      <c r="K31" s="38"/>
      <c r="L31" s="38"/>
      <c r="M31" s="88"/>
      <c r="N31" s="88"/>
      <c r="O31" s="81"/>
      <c r="P31" s="88"/>
      <c r="Q31" s="88"/>
      <c r="R31" s="96"/>
      <c r="S31" s="87"/>
      <c r="T31" s="87"/>
      <c r="U31" s="93"/>
    </row>
    <row r="32" spans="2:21">
      <c r="B32" s="527"/>
      <c r="C32" s="525"/>
      <c r="D32" s="400"/>
      <c r="E32" s="36"/>
      <c r="F32" s="37"/>
      <c r="G32" s="38"/>
      <c r="H32" s="38"/>
      <c r="I32" s="39"/>
      <c r="J32" s="39"/>
      <c r="K32" s="38"/>
      <c r="L32" s="38"/>
      <c r="M32" s="88"/>
      <c r="N32" s="88"/>
      <c r="O32" s="81"/>
      <c r="P32" s="88"/>
      <c r="Q32" s="88"/>
      <c r="R32" s="96"/>
      <c r="S32" s="87"/>
      <c r="T32" s="87"/>
      <c r="U32" s="93"/>
    </row>
    <row r="33" spans="2:21" ht="25.5">
      <c r="B33" s="470"/>
      <c r="C33" s="332"/>
      <c r="D33" s="400" t="s">
        <v>348</v>
      </c>
      <c r="E33" s="36"/>
      <c r="F33" s="37"/>
      <c r="G33" s="38" t="s">
        <v>416</v>
      </c>
      <c r="H33" s="38"/>
      <c r="I33" s="39"/>
      <c r="J33" s="39"/>
      <c r="K33" s="38"/>
      <c r="L33" s="38"/>
      <c r="M33" s="88"/>
      <c r="N33" s="88"/>
      <c r="O33" s="81"/>
      <c r="P33" s="88"/>
      <c r="Q33" s="88"/>
      <c r="R33" s="96"/>
      <c r="S33" s="87"/>
      <c r="T33" s="87"/>
      <c r="U33" s="93"/>
    </row>
    <row r="34" spans="2:21" ht="25.5">
      <c r="B34" s="527"/>
      <c r="C34" s="525"/>
      <c r="D34" s="400" t="s">
        <v>460</v>
      </c>
      <c r="E34" s="36"/>
      <c r="F34" s="37"/>
      <c r="G34" s="38" t="s">
        <v>461</v>
      </c>
      <c r="H34" s="38"/>
      <c r="I34" s="39"/>
      <c r="J34" s="39"/>
      <c r="K34" s="38"/>
      <c r="L34" s="38"/>
      <c r="M34" s="88"/>
      <c r="N34" s="88"/>
      <c r="O34" s="81"/>
      <c r="P34" s="88"/>
      <c r="Q34" s="88"/>
      <c r="R34" s="96"/>
      <c r="S34" s="87"/>
      <c r="T34" s="87"/>
      <c r="U34" s="93"/>
    </row>
    <row r="35" spans="2:21" ht="25.5">
      <c r="B35" s="527"/>
      <c r="C35" s="525"/>
      <c r="D35" s="400" t="s">
        <v>462</v>
      </c>
      <c r="E35" s="36"/>
      <c r="F35" s="37"/>
      <c r="G35" s="38"/>
      <c r="H35" s="38"/>
      <c r="I35" s="39"/>
      <c r="J35" s="39"/>
      <c r="K35" s="38"/>
      <c r="L35" s="38"/>
      <c r="M35" s="88"/>
      <c r="N35" s="88"/>
      <c r="O35" s="81"/>
      <c r="P35" s="88"/>
      <c r="Q35" s="88"/>
      <c r="R35" s="96"/>
      <c r="S35" s="87"/>
      <c r="T35" s="87"/>
      <c r="U35" s="93"/>
    </row>
    <row r="36" spans="2:21" ht="38.25">
      <c r="B36" s="527"/>
      <c r="C36" s="525"/>
      <c r="D36" s="400" t="s">
        <v>463</v>
      </c>
      <c r="E36" s="36"/>
      <c r="F36" s="37"/>
      <c r="G36" s="38"/>
      <c r="H36" s="38"/>
      <c r="I36" s="39"/>
      <c r="J36" s="39"/>
      <c r="K36" s="38"/>
      <c r="L36" s="38"/>
      <c r="M36" s="88"/>
      <c r="N36" s="88"/>
      <c r="O36" s="81"/>
      <c r="P36" s="88"/>
      <c r="Q36" s="88"/>
      <c r="R36" s="96"/>
      <c r="S36" s="87"/>
      <c r="T36" s="87"/>
      <c r="U36" s="93"/>
    </row>
    <row r="37" spans="2:21">
      <c r="B37" s="527"/>
      <c r="C37" s="525"/>
      <c r="D37" s="400" t="s">
        <v>339</v>
      </c>
      <c r="E37" s="36"/>
      <c r="F37" s="37"/>
      <c r="G37" s="38"/>
      <c r="H37" s="38"/>
      <c r="I37" s="39"/>
      <c r="J37" s="39"/>
      <c r="K37" s="38"/>
      <c r="L37" s="38"/>
      <c r="M37" s="88"/>
      <c r="N37" s="88"/>
      <c r="O37" s="81"/>
      <c r="P37" s="88"/>
      <c r="Q37" s="88"/>
      <c r="R37" s="96"/>
      <c r="S37" s="87"/>
      <c r="T37" s="87"/>
      <c r="U37" s="93"/>
    </row>
    <row r="38" spans="2:21" ht="20.25" customHeight="1">
      <c r="B38" s="1295" t="s">
        <v>299</v>
      </c>
      <c r="C38" s="205"/>
      <c r="D38" s="399"/>
      <c r="E38" s="36"/>
      <c r="F38" s="37"/>
      <c r="G38" s="47"/>
      <c r="H38" s="47"/>
      <c r="I38" s="39"/>
      <c r="J38" s="39"/>
      <c r="K38" s="38"/>
      <c r="L38" s="38"/>
      <c r="M38" s="88"/>
      <c r="N38" s="88"/>
      <c r="O38" s="81"/>
      <c r="P38" s="88"/>
      <c r="Q38" s="88"/>
      <c r="R38" s="96"/>
      <c r="S38" s="87"/>
      <c r="T38" s="87"/>
      <c r="U38" s="93"/>
    </row>
    <row r="39" spans="2:21" ht="15.75" customHeight="1">
      <c r="B39" s="1296"/>
      <c r="C39" s="200" t="s">
        <v>299</v>
      </c>
      <c r="D39" s="401"/>
      <c r="E39" s="36"/>
      <c r="F39" s="37"/>
      <c r="G39" s="47"/>
      <c r="H39" s="47"/>
      <c r="I39" s="39"/>
      <c r="J39" s="39"/>
      <c r="K39" s="38"/>
      <c r="L39" s="38"/>
      <c r="M39" s="88"/>
      <c r="N39" s="88"/>
      <c r="O39" s="81"/>
      <c r="P39" s="88"/>
      <c r="Q39" s="88"/>
      <c r="R39" s="96"/>
      <c r="S39" s="87"/>
      <c r="T39" s="87"/>
      <c r="U39" s="93"/>
    </row>
    <row r="40" spans="2:21" ht="18" customHeight="1">
      <c r="B40" s="1296"/>
      <c r="C40" s="200"/>
      <c r="D40" s="401" t="s">
        <v>354</v>
      </c>
      <c r="E40" s="394">
        <v>1985</v>
      </c>
      <c r="F40" s="395">
        <v>90</v>
      </c>
      <c r="G40" s="360"/>
      <c r="H40" s="47"/>
      <c r="I40" s="39"/>
      <c r="J40" s="39"/>
      <c r="K40" s="396">
        <v>9</v>
      </c>
      <c r="L40" s="38"/>
      <c r="M40" s="88"/>
      <c r="N40" s="88"/>
      <c r="O40" s="81"/>
      <c r="P40" s="88"/>
      <c r="Q40" s="88"/>
      <c r="R40" s="96"/>
      <c r="S40" s="87"/>
      <c r="T40" s="87"/>
      <c r="U40" s="93"/>
    </row>
    <row r="41" spans="2:21">
      <c r="B41" s="1296"/>
      <c r="C41" s="200"/>
      <c r="D41" s="401" t="s">
        <v>9</v>
      </c>
      <c r="E41" s="394">
        <v>1970</v>
      </c>
      <c r="F41" s="395">
        <v>62</v>
      </c>
      <c r="G41" s="360"/>
      <c r="H41" s="360"/>
      <c r="I41" s="39"/>
      <c r="J41" s="39"/>
      <c r="K41" s="396"/>
      <c r="L41" s="38"/>
      <c r="M41" s="88"/>
      <c r="N41" s="88"/>
      <c r="O41" s="81"/>
      <c r="P41" s="88"/>
      <c r="Q41" s="88"/>
      <c r="R41" s="96"/>
      <c r="S41" s="87"/>
      <c r="T41" s="87"/>
      <c r="U41" s="93"/>
    </row>
    <row r="42" spans="2:21" ht="15.75" customHeight="1">
      <c r="B42" s="1296"/>
      <c r="C42" s="200"/>
      <c r="D42" s="401" t="s">
        <v>11</v>
      </c>
      <c r="E42" s="394">
        <v>1965</v>
      </c>
      <c r="F42" s="395">
        <v>69</v>
      </c>
      <c r="G42" s="360">
        <v>40</v>
      </c>
      <c r="H42" s="360">
        <v>15</v>
      </c>
      <c r="I42" s="397" t="s">
        <v>501</v>
      </c>
      <c r="J42" s="39"/>
      <c r="K42" s="396">
        <v>11</v>
      </c>
      <c r="L42" s="38"/>
      <c r="M42" s="88"/>
      <c r="N42" s="88"/>
      <c r="O42" s="81"/>
      <c r="P42" s="88"/>
      <c r="Q42" s="88"/>
      <c r="R42" s="96"/>
      <c r="S42" s="87"/>
      <c r="T42" s="87"/>
      <c r="U42" s="93"/>
    </row>
    <row r="43" spans="2:21" ht="15" customHeight="1">
      <c r="B43" s="1296"/>
      <c r="C43" s="200"/>
      <c r="D43" s="401" t="s">
        <v>167</v>
      </c>
      <c r="E43" s="394">
        <v>1966</v>
      </c>
      <c r="F43" s="395">
        <v>68</v>
      </c>
      <c r="G43" s="360">
        <v>250</v>
      </c>
      <c r="H43" s="360">
        <v>147</v>
      </c>
      <c r="I43" s="397">
        <v>136</v>
      </c>
      <c r="J43" s="39" t="s">
        <v>500</v>
      </c>
      <c r="K43" s="396">
        <v>43</v>
      </c>
      <c r="L43" s="38"/>
      <c r="M43" s="88"/>
      <c r="N43" s="88"/>
      <c r="O43" s="81"/>
      <c r="P43" s="88"/>
      <c r="Q43" s="88"/>
      <c r="R43" s="96"/>
      <c r="S43" s="87"/>
      <c r="T43" s="87"/>
      <c r="U43" s="93"/>
    </row>
    <row r="44" spans="2:21">
      <c r="B44" s="1296"/>
      <c r="C44" s="200"/>
      <c r="D44" s="401" t="s">
        <v>215</v>
      </c>
      <c r="E44" s="394">
        <v>1981</v>
      </c>
      <c r="F44" s="395">
        <v>98</v>
      </c>
      <c r="G44" s="360"/>
      <c r="H44" s="360"/>
      <c r="I44" s="39"/>
      <c r="J44" s="39"/>
      <c r="K44" s="396">
        <v>7</v>
      </c>
      <c r="L44" s="38"/>
      <c r="M44" s="88"/>
      <c r="N44" s="88"/>
      <c r="O44" s="81"/>
      <c r="P44" s="88"/>
      <c r="Q44" s="88"/>
      <c r="R44" s="96"/>
      <c r="S44" s="87"/>
      <c r="T44" s="87"/>
      <c r="U44" s="93"/>
    </row>
    <row r="45" spans="2:21" ht="15.75" customHeight="1">
      <c r="B45" s="1296"/>
      <c r="C45" s="200"/>
      <c r="D45" s="401" t="s">
        <v>10</v>
      </c>
      <c r="E45" s="394">
        <v>1985</v>
      </c>
      <c r="F45" s="395">
        <v>90</v>
      </c>
      <c r="G45" s="360" t="s">
        <v>433</v>
      </c>
      <c r="H45" s="360"/>
      <c r="I45" s="39"/>
      <c r="J45" s="39"/>
      <c r="K45" s="396"/>
      <c r="L45" s="38"/>
      <c r="M45" s="88"/>
      <c r="N45" s="88"/>
      <c r="O45" s="81"/>
      <c r="P45" s="88"/>
      <c r="Q45" s="88"/>
      <c r="R45" s="96"/>
      <c r="S45" s="87"/>
      <c r="T45" s="87"/>
      <c r="U45" s="93"/>
    </row>
    <row r="46" spans="2:21" ht="18.75" customHeight="1">
      <c r="B46" s="1296"/>
      <c r="C46" s="200"/>
      <c r="D46" s="401" t="s">
        <v>13</v>
      </c>
      <c r="E46" s="394">
        <v>1985</v>
      </c>
      <c r="F46" s="395">
        <v>90</v>
      </c>
      <c r="G46" s="360"/>
      <c r="H46" s="360"/>
      <c r="I46" s="39"/>
      <c r="J46" s="39"/>
      <c r="K46" s="396">
        <v>8</v>
      </c>
      <c r="L46" s="38"/>
      <c r="M46" s="88"/>
      <c r="N46" s="88"/>
      <c r="O46" s="81"/>
      <c r="P46" s="88"/>
      <c r="Q46" s="88"/>
      <c r="R46" s="96"/>
      <c r="S46" s="87"/>
      <c r="T46" s="87"/>
      <c r="U46" s="93"/>
    </row>
    <row r="47" spans="2:21" ht="16.5" customHeight="1">
      <c r="B47" s="1296"/>
      <c r="C47" s="200"/>
      <c r="D47" s="401" t="s">
        <v>218</v>
      </c>
      <c r="E47" s="394">
        <v>1985</v>
      </c>
      <c r="F47" s="395">
        <v>89</v>
      </c>
      <c r="G47" s="360"/>
      <c r="H47" s="360"/>
      <c r="I47" s="39"/>
      <c r="J47" s="39"/>
      <c r="K47" s="396">
        <v>1</v>
      </c>
      <c r="L47" s="38"/>
      <c r="M47" s="88"/>
      <c r="N47" s="88"/>
      <c r="O47" s="81"/>
      <c r="P47" s="88"/>
      <c r="Q47" s="88"/>
      <c r="R47" s="96"/>
      <c r="S47" s="87"/>
      <c r="T47" s="87"/>
      <c r="U47" s="93"/>
    </row>
    <row r="48" spans="2:21" ht="15.75" customHeight="1">
      <c r="B48" s="1296"/>
      <c r="C48" s="200"/>
      <c r="D48" s="401" t="s">
        <v>432</v>
      </c>
      <c r="E48" s="394">
        <v>1958</v>
      </c>
      <c r="F48" s="395"/>
      <c r="G48" s="360"/>
      <c r="H48" s="360"/>
      <c r="I48" s="39"/>
      <c r="J48" s="39"/>
      <c r="K48" s="396"/>
      <c r="L48" s="38"/>
      <c r="M48" s="88"/>
      <c r="N48" s="88"/>
      <c r="O48" s="81"/>
      <c r="P48" s="88"/>
      <c r="Q48" s="88"/>
      <c r="R48" s="96"/>
      <c r="S48" s="87"/>
      <c r="T48" s="87"/>
      <c r="U48" s="93"/>
    </row>
    <row r="49" spans="2:21" ht="25.5">
      <c r="B49" s="1296"/>
      <c r="C49" s="200"/>
      <c r="D49" s="401" t="s">
        <v>464</v>
      </c>
      <c r="E49" s="394">
        <v>1983</v>
      </c>
      <c r="F49" s="395">
        <v>15</v>
      </c>
      <c r="G49" s="360" t="s">
        <v>419</v>
      </c>
      <c r="H49" s="360"/>
      <c r="I49" s="39"/>
      <c r="J49" s="39"/>
      <c r="K49" s="396">
        <v>30</v>
      </c>
      <c r="L49" s="38"/>
      <c r="M49" s="88"/>
      <c r="N49" s="88"/>
      <c r="O49" s="81"/>
      <c r="P49" s="88"/>
      <c r="Q49" s="88"/>
      <c r="R49" s="96"/>
      <c r="S49" s="87"/>
      <c r="T49" s="87"/>
      <c r="U49" s="93"/>
    </row>
    <row r="50" spans="2:21" ht="25.5">
      <c r="B50" s="1296"/>
      <c r="C50" s="200"/>
      <c r="D50" s="401" t="s">
        <v>348</v>
      </c>
      <c r="E50" s="394"/>
      <c r="F50" s="395"/>
      <c r="G50" s="360"/>
      <c r="H50" s="360"/>
      <c r="I50" s="39"/>
      <c r="J50" s="39"/>
      <c r="K50" s="396">
        <v>1</v>
      </c>
      <c r="L50" s="38"/>
      <c r="M50" s="88"/>
      <c r="N50" s="88"/>
      <c r="O50" s="81"/>
      <c r="P50" s="88"/>
      <c r="Q50" s="88"/>
      <c r="R50" s="96"/>
      <c r="S50" s="87"/>
      <c r="T50" s="87"/>
      <c r="U50" s="93"/>
    </row>
    <row r="51" spans="2:21" ht="18.75" customHeight="1">
      <c r="B51" s="1296"/>
      <c r="C51" s="200"/>
      <c r="D51" s="401" t="s">
        <v>19</v>
      </c>
      <c r="E51" s="394">
        <v>1984</v>
      </c>
      <c r="F51" s="395"/>
      <c r="G51" s="360"/>
      <c r="H51" s="360"/>
      <c r="I51" s="39"/>
      <c r="J51" s="39"/>
      <c r="K51" s="396">
        <v>1</v>
      </c>
      <c r="L51" s="38"/>
      <c r="M51" s="88"/>
      <c r="N51" s="88"/>
      <c r="O51" s="81"/>
      <c r="P51" s="88"/>
      <c r="Q51" s="88"/>
      <c r="R51" s="96"/>
      <c r="S51" s="87"/>
      <c r="T51" s="87"/>
      <c r="U51" s="93"/>
    </row>
    <row r="52" spans="2:21" ht="18.75" customHeight="1">
      <c r="B52" s="1296"/>
      <c r="C52" s="200"/>
      <c r="D52" s="401" t="s">
        <v>223</v>
      </c>
      <c r="E52" s="394"/>
      <c r="F52" s="395"/>
      <c r="G52" s="360"/>
      <c r="H52" s="360"/>
      <c r="I52" s="39"/>
      <c r="J52" s="39"/>
      <c r="K52" s="396"/>
      <c r="L52" s="38"/>
      <c r="M52" s="88"/>
      <c r="N52" s="88"/>
      <c r="O52" s="81"/>
      <c r="P52" s="88"/>
      <c r="Q52" s="88"/>
      <c r="R52" s="96"/>
      <c r="S52" s="87"/>
      <c r="T52" s="87"/>
      <c r="U52" s="93"/>
    </row>
    <row r="53" spans="2:21" ht="18" customHeight="1">
      <c r="B53" s="1296"/>
      <c r="C53" s="200"/>
      <c r="D53" s="401" t="s">
        <v>339</v>
      </c>
      <c r="E53" s="394"/>
      <c r="F53" s="395"/>
      <c r="G53" s="360" t="s">
        <v>356</v>
      </c>
      <c r="H53" s="360"/>
      <c r="I53" s="39"/>
      <c r="J53" s="39"/>
      <c r="K53" s="38"/>
      <c r="L53" s="38"/>
      <c r="M53" s="88"/>
      <c r="N53" s="88"/>
      <c r="O53" s="81"/>
      <c r="P53" s="88"/>
      <c r="Q53" s="88"/>
      <c r="R53" s="96"/>
      <c r="S53" s="87"/>
      <c r="T53" s="87"/>
      <c r="U53" s="93"/>
    </row>
    <row r="54" spans="2:21">
      <c r="B54" s="1296"/>
      <c r="C54" s="200" t="s">
        <v>225</v>
      </c>
      <c r="D54" s="401"/>
      <c r="E54" s="394"/>
      <c r="F54" s="395"/>
      <c r="G54" s="360"/>
      <c r="H54" s="360"/>
      <c r="I54" s="39"/>
      <c r="J54" s="39"/>
      <c r="K54" s="38"/>
      <c r="L54" s="38"/>
      <c r="M54" s="88"/>
      <c r="N54" s="88"/>
      <c r="O54" s="81"/>
      <c r="P54" s="88"/>
      <c r="Q54" s="88"/>
      <c r="R54" s="96"/>
      <c r="S54" s="87"/>
      <c r="T54" s="87"/>
      <c r="U54" s="93"/>
    </row>
    <row r="55" spans="2:21">
      <c r="B55" s="1296"/>
      <c r="C55" s="200"/>
      <c r="D55" s="401" t="s">
        <v>339</v>
      </c>
      <c r="E55" s="394"/>
      <c r="F55" s="395"/>
      <c r="G55" s="411" t="s">
        <v>357</v>
      </c>
      <c r="H55" s="396"/>
      <c r="I55" s="39"/>
      <c r="J55" s="39"/>
      <c r="K55" s="38"/>
      <c r="L55" s="38"/>
      <c r="M55" s="88"/>
      <c r="N55" s="88"/>
      <c r="O55" s="88"/>
      <c r="P55" s="88"/>
      <c r="Q55" s="88"/>
      <c r="R55" s="97"/>
      <c r="S55" s="93"/>
      <c r="T55" s="93"/>
      <c r="U55" s="93"/>
    </row>
    <row r="56" spans="2:21">
      <c r="B56" s="1296"/>
      <c r="C56" s="200" t="s">
        <v>301</v>
      </c>
      <c r="D56" s="401"/>
      <c r="E56" s="168"/>
      <c r="F56" s="37"/>
      <c r="G56" s="169"/>
      <c r="H56" s="38"/>
      <c r="I56" s="39"/>
      <c r="J56" s="39"/>
      <c r="K56" s="38"/>
      <c r="L56" s="38"/>
      <c r="M56" s="88"/>
      <c r="N56" s="88"/>
      <c r="O56" s="88"/>
      <c r="P56" s="88"/>
      <c r="Q56" s="88"/>
      <c r="R56" s="97"/>
      <c r="S56" s="93"/>
      <c r="T56" s="93"/>
      <c r="U56" s="93"/>
    </row>
    <row r="57" spans="2:21">
      <c r="B57" s="1296"/>
      <c r="C57" s="200"/>
      <c r="D57" s="401" t="s">
        <v>16</v>
      </c>
      <c r="E57" s="168"/>
      <c r="F57" s="37"/>
      <c r="G57" s="408">
        <v>3</v>
      </c>
      <c r="H57" s="396">
        <v>10</v>
      </c>
      <c r="I57" s="397"/>
      <c r="J57" s="397"/>
      <c r="K57" s="396">
        <v>2</v>
      </c>
      <c r="L57" s="38"/>
      <c r="M57" s="88"/>
      <c r="N57" s="88"/>
      <c r="O57" s="88"/>
      <c r="P57" s="88"/>
      <c r="Q57" s="88"/>
      <c r="R57" s="97"/>
      <c r="S57" s="93"/>
      <c r="T57" s="93"/>
      <c r="U57" s="93"/>
    </row>
    <row r="58" spans="2:21">
      <c r="B58" s="1296"/>
      <c r="C58" s="200"/>
      <c r="D58" s="401" t="s">
        <v>438</v>
      </c>
      <c r="E58" s="168">
        <v>1982</v>
      </c>
      <c r="F58" s="37">
        <v>80</v>
      </c>
      <c r="G58" s="169">
        <v>44</v>
      </c>
      <c r="H58" s="38"/>
      <c r="I58" s="39"/>
      <c r="J58" s="39"/>
      <c r="K58" s="38">
        <v>1</v>
      </c>
      <c r="L58" s="38"/>
      <c r="M58" s="88"/>
      <c r="N58" s="88"/>
      <c r="O58" s="88"/>
      <c r="P58" s="88"/>
      <c r="Q58" s="88"/>
      <c r="R58" s="97"/>
      <c r="S58" s="93"/>
      <c r="T58" s="93"/>
      <c r="U58" s="93"/>
    </row>
    <row r="59" spans="2:21">
      <c r="B59" s="1296"/>
      <c r="C59" s="200"/>
      <c r="D59" s="401" t="s">
        <v>339</v>
      </c>
      <c r="E59" s="168"/>
      <c r="F59" s="37"/>
      <c r="G59" s="408" t="s">
        <v>357</v>
      </c>
      <c r="H59" s="38"/>
      <c r="I59" s="39"/>
      <c r="J59" s="39"/>
      <c r="K59" s="38"/>
      <c r="L59" s="38"/>
      <c r="M59" s="88"/>
      <c r="N59" s="88"/>
      <c r="O59" s="88"/>
      <c r="P59" s="88"/>
      <c r="Q59" s="88"/>
      <c r="R59" s="97"/>
      <c r="S59" s="93"/>
      <c r="T59" s="93"/>
      <c r="U59" s="87"/>
    </row>
    <row r="60" spans="2:21" ht="15.75" customHeight="1">
      <c r="B60" s="1296"/>
      <c r="C60" s="200" t="s">
        <v>300</v>
      </c>
      <c r="D60" s="401"/>
      <c r="E60" s="36"/>
      <c r="F60" s="37"/>
      <c r="G60" s="38"/>
      <c r="H60" s="38"/>
      <c r="I60" s="39"/>
      <c r="J60" s="39"/>
      <c r="K60" s="38"/>
      <c r="L60" s="38"/>
      <c r="M60" s="88"/>
      <c r="N60" s="88"/>
      <c r="O60" s="88"/>
      <c r="P60" s="88"/>
      <c r="Q60" s="88"/>
      <c r="R60" s="97"/>
      <c r="S60" s="93"/>
      <c r="T60" s="93"/>
      <c r="U60" s="87"/>
    </row>
    <row r="61" spans="2:21" ht="15.75" customHeight="1">
      <c r="B61" s="1296"/>
      <c r="C61" s="200"/>
      <c r="D61" s="401" t="s">
        <v>438</v>
      </c>
      <c r="E61" s="36">
        <v>1991</v>
      </c>
      <c r="F61" s="37">
        <v>80</v>
      </c>
      <c r="G61" s="38">
        <v>120</v>
      </c>
      <c r="H61" s="38"/>
      <c r="I61" s="39"/>
      <c r="J61" s="39"/>
      <c r="K61" s="38">
        <v>1</v>
      </c>
      <c r="L61" s="38"/>
      <c r="M61" s="88"/>
      <c r="N61" s="88"/>
      <c r="O61" s="88"/>
      <c r="P61" s="88"/>
      <c r="Q61" s="88"/>
      <c r="R61" s="97"/>
      <c r="S61" s="93"/>
      <c r="T61" s="93"/>
      <c r="U61" s="87"/>
    </row>
    <row r="62" spans="2:21" ht="15.75" customHeight="1">
      <c r="B62" s="1297"/>
      <c r="C62" s="200"/>
      <c r="D62" s="401" t="s">
        <v>339</v>
      </c>
      <c r="E62" s="36"/>
      <c r="F62" s="37"/>
      <c r="G62" s="396" t="s">
        <v>358</v>
      </c>
      <c r="H62" s="38"/>
      <c r="I62" s="39"/>
      <c r="J62" s="39"/>
      <c r="K62" s="38"/>
      <c r="L62" s="38"/>
      <c r="M62" s="88"/>
      <c r="N62" s="88"/>
      <c r="O62" s="88"/>
      <c r="P62" s="88"/>
      <c r="Q62" s="88"/>
      <c r="R62" s="97"/>
      <c r="S62" s="93"/>
      <c r="T62" s="93"/>
      <c r="U62" s="87"/>
    </row>
    <row r="63" spans="2:21" ht="15.75">
      <c r="B63" s="1310" t="s">
        <v>254</v>
      </c>
      <c r="C63" s="184"/>
      <c r="D63" s="402"/>
      <c r="E63" s="36"/>
      <c r="F63" s="167"/>
      <c r="G63" s="38"/>
      <c r="H63" s="38"/>
      <c r="I63" s="39"/>
      <c r="J63" s="39"/>
      <c r="K63" s="38"/>
      <c r="L63" s="38"/>
      <c r="M63" s="88"/>
      <c r="N63" s="88"/>
      <c r="O63" s="88"/>
      <c r="P63" s="88"/>
      <c r="Q63" s="88"/>
      <c r="R63" s="97"/>
      <c r="S63" s="93"/>
      <c r="T63" s="93"/>
      <c r="U63" s="87"/>
    </row>
    <row r="64" spans="2:21" ht="15.75">
      <c r="B64" s="1311"/>
      <c r="C64" s="102" t="s">
        <v>255</v>
      </c>
      <c r="D64" s="398"/>
      <c r="E64" s="36"/>
      <c r="F64" s="167"/>
      <c r="G64" s="38"/>
      <c r="H64" s="38"/>
      <c r="I64" s="39"/>
      <c r="J64" s="39"/>
      <c r="K64" s="38"/>
      <c r="L64" s="38"/>
      <c r="M64" s="88"/>
      <c r="N64" s="88"/>
      <c r="O64" s="88"/>
      <c r="P64" s="88"/>
      <c r="Q64" s="88"/>
      <c r="R64" s="97"/>
      <c r="S64" s="93"/>
      <c r="T64" s="93"/>
      <c r="U64" s="87"/>
    </row>
    <row r="65" spans="2:21" ht="15.75">
      <c r="B65" s="1311"/>
      <c r="C65" s="102"/>
      <c r="D65" s="398" t="s">
        <v>212</v>
      </c>
      <c r="E65" s="394"/>
      <c r="F65" s="544">
        <v>60</v>
      </c>
      <c r="G65" s="396"/>
      <c r="H65" s="38"/>
      <c r="I65" s="39"/>
      <c r="J65" s="39"/>
      <c r="K65" s="38"/>
      <c r="L65" s="38"/>
      <c r="M65" s="88"/>
      <c r="N65" s="88"/>
      <c r="O65" s="88"/>
      <c r="P65" s="88"/>
      <c r="Q65" s="88"/>
      <c r="R65" s="97"/>
      <c r="S65" s="93"/>
      <c r="T65" s="93"/>
      <c r="U65" s="87"/>
    </row>
    <row r="66" spans="2:21" ht="15.75">
      <c r="B66" s="1311"/>
      <c r="C66" s="102"/>
      <c r="D66" s="398" t="s">
        <v>438</v>
      </c>
      <c r="E66" s="394"/>
      <c r="F66" s="544">
        <v>60</v>
      </c>
      <c r="G66" s="396" t="s">
        <v>420</v>
      </c>
      <c r="H66" s="38"/>
      <c r="I66" s="39"/>
      <c r="J66" s="39"/>
      <c r="K66" s="38"/>
      <c r="L66" s="38"/>
      <c r="M66" s="88"/>
      <c r="N66" s="88"/>
      <c r="O66" s="88"/>
      <c r="P66" s="88"/>
      <c r="Q66" s="88"/>
      <c r="R66" s="97"/>
      <c r="S66" s="93"/>
      <c r="T66" s="93"/>
      <c r="U66" s="87"/>
    </row>
    <row r="67" spans="2:21" ht="15.75">
      <c r="B67" s="1311"/>
      <c r="C67" s="102"/>
      <c r="D67" s="471" t="s">
        <v>16</v>
      </c>
      <c r="E67" s="36">
        <v>1988</v>
      </c>
      <c r="F67" s="167"/>
      <c r="G67" s="38" t="s">
        <v>465</v>
      </c>
      <c r="H67" s="38"/>
      <c r="I67" s="39"/>
      <c r="J67" s="39"/>
      <c r="K67" s="38"/>
      <c r="L67" s="38"/>
      <c r="M67" s="88"/>
      <c r="N67" s="88"/>
      <c r="O67" s="88"/>
      <c r="P67" s="88"/>
      <c r="Q67" s="88"/>
      <c r="R67" s="97"/>
      <c r="S67" s="93"/>
      <c r="T67" s="93"/>
      <c r="U67" s="87"/>
    </row>
    <row r="68" spans="2:21" ht="15.75">
      <c r="B68" s="1311"/>
      <c r="C68" s="102"/>
      <c r="D68" s="398" t="s">
        <v>10</v>
      </c>
      <c r="E68" s="394"/>
      <c r="F68" s="544">
        <v>60</v>
      </c>
      <c r="G68" s="396">
        <v>21000</v>
      </c>
      <c r="H68" s="38"/>
      <c r="I68" s="39"/>
      <c r="J68" s="39"/>
      <c r="K68" s="38"/>
      <c r="L68" s="38"/>
      <c r="M68" s="88"/>
      <c r="N68" s="88"/>
      <c r="O68" s="88"/>
      <c r="P68" s="88"/>
      <c r="Q68" s="88"/>
      <c r="R68" s="97"/>
      <c r="S68" s="93"/>
      <c r="T68" s="93"/>
      <c r="U68" s="87"/>
    </row>
    <row r="69" spans="2:21" ht="51">
      <c r="B69" s="1311"/>
      <c r="C69" s="102"/>
      <c r="D69" s="398" t="s">
        <v>879</v>
      </c>
      <c r="E69" s="394"/>
      <c r="F69" s="544">
        <v>30</v>
      </c>
      <c r="G69" s="396"/>
      <c r="H69" s="38"/>
      <c r="I69" s="39"/>
      <c r="J69" s="39"/>
      <c r="K69" s="38"/>
      <c r="L69" s="38"/>
      <c r="M69" s="88"/>
      <c r="N69" s="88"/>
      <c r="O69" s="88"/>
      <c r="P69" s="88"/>
      <c r="Q69" s="88"/>
      <c r="R69" s="97"/>
      <c r="S69" s="93"/>
      <c r="T69" s="93"/>
      <c r="U69" s="87"/>
    </row>
    <row r="70" spans="2:21" ht="15.75">
      <c r="B70" s="1311"/>
      <c r="C70" s="102"/>
      <c r="D70" s="398" t="s">
        <v>353</v>
      </c>
      <c r="E70" s="394"/>
      <c r="F70" s="544"/>
      <c r="G70" s="396"/>
      <c r="H70" s="38"/>
      <c r="I70" s="39"/>
      <c r="J70" s="39"/>
      <c r="K70" s="38"/>
      <c r="L70" s="38"/>
      <c r="M70" s="88"/>
      <c r="N70" s="88"/>
      <c r="O70" s="88"/>
      <c r="P70" s="88"/>
      <c r="Q70" s="88"/>
      <c r="R70" s="97"/>
      <c r="S70" s="93"/>
      <c r="T70" s="93"/>
      <c r="U70" s="87"/>
    </row>
    <row r="71" spans="2:21" ht="15.75">
      <c r="B71" s="1311"/>
      <c r="C71" s="214" t="s">
        <v>256</v>
      </c>
      <c r="D71" s="403"/>
      <c r="E71" s="36"/>
      <c r="F71" s="167"/>
      <c r="G71" s="38"/>
      <c r="H71" s="38"/>
      <c r="I71" s="39"/>
      <c r="J71" s="39"/>
      <c r="K71" s="38"/>
      <c r="L71" s="38"/>
      <c r="M71" s="88"/>
      <c r="N71" s="88"/>
      <c r="O71" s="88"/>
      <c r="P71" s="88"/>
      <c r="Q71" s="88"/>
      <c r="R71" s="97"/>
      <c r="S71" s="93"/>
      <c r="T71" s="93"/>
      <c r="U71" s="87"/>
    </row>
    <row r="72" spans="2:21" ht="15.75">
      <c r="B72" s="1311"/>
      <c r="C72" s="214"/>
      <c r="D72" s="403" t="s">
        <v>434</v>
      </c>
      <c r="E72" s="36"/>
      <c r="F72" s="544">
        <v>60</v>
      </c>
      <c r="G72" s="38"/>
      <c r="H72" s="38"/>
      <c r="I72" s="39"/>
      <c r="J72" s="39"/>
      <c r="K72" s="38"/>
      <c r="L72" s="38"/>
      <c r="M72" s="88"/>
      <c r="N72" s="88"/>
      <c r="O72" s="88"/>
      <c r="P72" s="88"/>
      <c r="Q72" s="88"/>
      <c r="R72" s="97"/>
      <c r="S72" s="93"/>
      <c r="T72" s="93"/>
      <c r="U72" s="87"/>
    </row>
    <row r="73" spans="2:21" ht="15.75">
      <c r="B73" s="1311"/>
      <c r="C73" s="214"/>
      <c r="D73" s="403" t="s">
        <v>10</v>
      </c>
      <c r="E73" s="36"/>
      <c r="F73" s="544">
        <v>60</v>
      </c>
      <c r="G73" s="38"/>
      <c r="H73" s="38"/>
      <c r="I73" s="39"/>
      <c r="J73" s="39"/>
      <c r="K73" s="38"/>
      <c r="L73" s="38"/>
      <c r="M73" s="88"/>
      <c r="N73" s="88"/>
      <c r="O73" s="88"/>
      <c r="P73" s="88"/>
      <c r="Q73" s="88"/>
      <c r="R73" s="97"/>
      <c r="S73" s="93"/>
      <c r="T73" s="93"/>
      <c r="U73" s="87"/>
    </row>
    <row r="74" spans="2:21" ht="15.75">
      <c r="B74" s="1312"/>
      <c r="C74" s="214"/>
      <c r="D74" s="403" t="s">
        <v>14</v>
      </c>
      <c r="E74" s="36"/>
      <c r="F74" s="167"/>
      <c r="G74" s="38"/>
      <c r="H74" s="38"/>
      <c r="I74" s="39"/>
      <c r="J74" s="39"/>
      <c r="K74" s="38"/>
      <c r="L74" s="38"/>
      <c r="M74" s="88"/>
      <c r="N74" s="88"/>
      <c r="O74" s="88"/>
      <c r="P74" s="88"/>
      <c r="Q74" s="88"/>
      <c r="R74" s="97"/>
      <c r="S74" s="93"/>
      <c r="T74" s="93"/>
      <c r="U74" s="87"/>
    </row>
    <row r="75" spans="2:21" ht="15.75">
      <c r="B75" s="1292" t="s">
        <v>257</v>
      </c>
      <c r="C75" s="184"/>
      <c r="D75" s="402"/>
      <c r="E75" s="36"/>
      <c r="F75" s="167"/>
      <c r="G75" s="38"/>
      <c r="H75" s="38"/>
      <c r="I75" s="39"/>
      <c r="J75" s="39"/>
      <c r="K75" s="38"/>
      <c r="L75" s="38"/>
      <c r="M75" s="88"/>
      <c r="N75" s="88"/>
      <c r="O75" s="88"/>
      <c r="P75" s="88"/>
      <c r="Q75" s="88"/>
      <c r="R75" s="97"/>
      <c r="S75" s="93"/>
      <c r="T75" s="93"/>
      <c r="U75" s="87"/>
    </row>
    <row r="76" spans="2:21" ht="15.75">
      <c r="B76" s="1293"/>
      <c r="C76" s="102" t="s">
        <v>258</v>
      </c>
      <c r="D76" s="398"/>
      <c r="E76" s="36"/>
      <c r="F76" s="167"/>
      <c r="G76" s="38"/>
      <c r="H76" s="38"/>
      <c r="I76" s="39"/>
      <c r="J76" s="39"/>
      <c r="K76" s="38"/>
      <c r="L76" s="38"/>
      <c r="M76" s="88"/>
      <c r="N76" s="88"/>
      <c r="O76" s="88"/>
      <c r="P76" s="88"/>
      <c r="Q76" s="88"/>
      <c r="R76" s="97"/>
      <c r="S76" s="93"/>
      <c r="T76" s="93"/>
      <c r="U76" s="87"/>
    </row>
    <row r="77" spans="2:21" ht="15.75">
      <c r="B77" s="1293"/>
      <c r="C77" s="102"/>
      <c r="D77" s="398" t="s">
        <v>212</v>
      </c>
      <c r="E77" s="394">
        <v>1975</v>
      </c>
      <c r="F77" s="544">
        <v>100</v>
      </c>
      <c r="G77" s="38"/>
      <c r="H77" s="38"/>
      <c r="I77" s="39"/>
      <c r="J77" s="39"/>
      <c r="K77" s="38"/>
      <c r="L77" s="38"/>
      <c r="M77" s="88"/>
      <c r="N77" s="88"/>
      <c r="O77" s="88"/>
      <c r="P77" s="88"/>
      <c r="Q77" s="88"/>
      <c r="R77" s="97"/>
      <c r="S77" s="93"/>
      <c r="T77" s="93"/>
      <c r="U77" s="87"/>
    </row>
    <row r="78" spans="2:21" ht="15.75">
      <c r="B78" s="1293"/>
      <c r="C78" s="102"/>
      <c r="D78" s="398" t="s">
        <v>215</v>
      </c>
      <c r="E78" s="394">
        <v>1960</v>
      </c>
      <c r="F78" s="544">
        <v>100</v>
      </c>
      <c r="G78" s="38"/>
      <c r="H78" s="38"/>
      <c r="I78" s="39"/>
      <c r="J78" s="39"/>
      <c r="K78" s="38"/>
      <c r="L78" s="38"/>
      <c r="M78" s="88"/>
      <c r="N78" s="88"/>
      <c r="O78" s="88"/>
      <c r="P78" s="88"/>
      <c r="Q78" s="88"/>
      <c r="R78" s="97"/>
      <c r="S78" s="93"/>
      <c r="T78" s="93"/>
      <c r="U78" s="87"/>
    </row>
    <row r="79" spans="2:21" ht="15.75">
      <c r="B79" s="1293"/>
      <c r="C79" s="102"/>
      <c r="D79" s="398" t="s">
        <v>10</v>
      </c>
      <c r="E79" s="394">
        <v>1962</v>
      </c>
      <c r="F79" s="544">
        <v>100</v>
      </c>
      <c r="G79" s="396" t="s">
        <v>471</v>
      </c>
      <c r="H79" s="38"/>
      <c r="I79" s="39"/>
      <c r="J79" s="39"/>
      <c r="K79" s="38"/>
      <c r="L79" s="38"/>
      <c r="M79" s="88"/>
      <c r="N79" s="88"/>
      <c r="O79" s="88"/>
      <c r="P79" s="88"/>
      <c r="Q79" s="88"/>
      <c r="R79" s="97"/>
      <c r="S79" s="93"/>
      <c r="T79" s="93"/>
      <c r="U79" s="87"/>
    </row>
    <row r="80" spans="2:21" ht="15.75">
      <c r="B80" s="1293"/>
      <c r="C80" s="102"/>
      <c r="D80" s="398" t="s">
        <v>11</v>
      </c>
      <c r="E80" s="394">
        <v>1965</v>
      </c>
      <c r="F80" s="544">
        <v>100</v>
      </c>
      <c r="G80" s="396" t="s">
        <v>472</v>
      </c>
      <c r="H80" s="38">
        <v>0</v>
      </c>
      <c r="I80" s="39"/>
      <c r="J80" s="39"/>
      <c r="K80" s="38">
        <v>0</v>
      </c>
      <c r="L80" s="38"/>
      <c r="M80" s="88"/>
      <c r="N80" s="88"/>
      <c r="O80" s="88"/>
      <c r="P80" s="88"/>
      <c r="Q80" s="88"/>
      <c r="R80" s="97"/>
      <c r="S80" s="93"/>
      <c r="T80" s="93"/>
      <c r="U80" s="87"/>
    </row>
    <row r="81" spans="2:21" ht="15.75">
      <c r="B81" s="1293"/>
      <c r="C81" s="102"/>
      <c r="D81" s="398" t="s">
        <v>167</v>
      </c>
      <c r="E81" s="394">
        <v>1965</v>
      </c>
      <c r="F81" s="544">
        <v>69</v>
      </c>
      <c r="G81" s="396">
        <v>170</v>
      </c>
      <c r="H81" s="396">
        <v>88</v>
      </c>
      <c r="I81" s="397">
        <v>198</v>
      </c>
      <c r="J81" s="397" t="s">
        <v>501</v>
      </c>
      <c r="K81" s="396">
        <v>35</v>
      </c>
      <c r="L81" s="396"/>
      <c r="M81" s="88"/>
      <c r="N81" s="88"/>
      <c r="O81" s="88"/>
      <c r="P81" s="88"/>
      <c r="Q81" s="88"/>
      <c r="R81" s="97"/>
      <c r="S81" s="93"/>
      <c r="T81" s="93"/>
      <c r="U81" s="87"/>
    </row>
    <row r="82" spans="2:21" ht="25.5">
      <c r="B82" s="1293"/>
      <c r="C82" s="102"/>
      <c r="D82" s="398" t="s">
        <v>563</v>
      </c>
      <c r="E82" s="36">
        <v>1956</v>
      </c>
      <c r="F82" s="544">
        <v>100</v>
      </c>
      <c r="G82" s="396"/>
      <c r="H82" s="396"/>
      <c r="I82" s="397"/>
      <c r="J82" s="397"/>
      <c r="K82" s="396"/>
      <c r="L82" s="396"/>
      <c r="M82" s="88"/>
      <c r="N82" s="88"/>
      <c r="O82" s="88"/>
      <c r="P82" s="88"/>
      <c r="Q82" s="88"/>
      <c r="R82" s="97"/>
      <c r="S82" s="93"/>
      <c r="T82" s="93"/>
      <c r="U82" s="87"/>
    </row>
    <row r="83" spans="2:21" ht="15.75">
      <c r="B83" s="1293"/>
      <c r="C83" s="102"/>
      <c r="D83" s="398" t="s">
        <v>19</v>
      </c>
      <c r="E83" s="36"/>
      <c r="F83" s="544">
        <v>100</v>
      </c>
      <c r="G83" s="38"/>
      <c r="H83" s="38"/>
      <c r="I83" s="39"/>
      <c r="J83" s="39"/>
      <c r="K83" s="38"/>
      <c r="L83" s="38"/>
      <c r="M83" s="88"/>
      <c r="N83" s="88"/>
      <c r="O83" s="88"/>
      <c r="P83" s="88"/>
      <c r="Q83" s="88"/>
      <c r="R83" s="97"/>
      <c r="S83" s="93"/>
      <c r="T83" s="93"/>
      <c r="U83" s="87"/>
    </row>
    <row r="84" spans="2:21" ht="15.75">
      <c r="B84" s="1293"/>
      <c r="C84" s="102"/>
      <c r="D84" s="398" t="s">
        <v>218</v>
      </c>
      <c r="E84" s="394">
        <v>1960</v>
      </c>
      <c r="F84" s="544">
        <v>100</v>
      </c>
      <c r="G84" s="38"/>
      <c r="H84" s="38"/>
      <c r="I84" s="39"/>
      <c r="J84" s="39"/>
      <c r="K84" s="38"/>
      <c r="L84" s="38"/>
      <c r="M84" s="88"/>
      <c r="N84" s="88"/>
      <c r="O84" s="88"/>
      <c r="P84" s="88"/>
      <c r="Q84" s="88"/>
      <c r="R84" s="97"/>
      <c r="S84" s="93"/>
      <c r="T84" s="93"/>
      <c r="U84" s="87"/>
    </row>
    <row r="85" spans="2:21" ht="25.5">
      <c r="B85" s="1293"/>
      <c r="C85" s="102"/>
      <c r="D85" s="398" t="s">
        <v>348</v>
      </c>
      <c r="E85" s="36"/>
      <c r="F85" s="167"/>
      <c r="G85" s="38"/>
      <c r="H85" s="38"/>
      <c r="I85" s="39"/>
      <c r="J85" s="39"/>
      <c r="K85" s="38"/>
      <c r="L85" s="38"/>
      <c r="M85" s="88"/>
      <c r="N85" s="88"/>
      <c r="O85" s="88"/>
      <c r="P85" s="88"/>
      <c r="Q85" s="88"/>
      <c r="R85" s="97"/>
      <c r="S85" s="93"/>
      <c r="T85" s="93"/>
      <c r="U85" s="87"/>
    </row>
    <row r="86" spans="2:21" ht="15.75">
      <c r="B86" s="1293"/>
      <c r="C86" s="102"/>
      <c r="D86" s="398" t="s">
        <v>466</v>
      </c>
      <c r="E86" s="394">
        <v>1962</v>
      </c>
      <c r="F86" s="544">
        <v>100</v>
      </c>
      <c r="G86" s="396" t="s">
        <v>471</v>
      </c>
      <c r="H86" s="38"/>
      <c r="I86" s="39"/>
      <c r="J86" s="39"/>
      <c r="K86" s="38"/>
      <c r="L86" s="38"/>
      <c r="M86" s="88"/>
      <c r="N86" s="88"/>
      <c r="O86" s="88"/>
      <c r="P86" s="88"/>
      <c r="Q86" s="88"/>
      <c r="R86" s="97"/>
      <c r="S86" s="93"/>
      <c r="T86" s="93"/>
      <c r="U86" s="87"/>
    </row>
    <row r="87" spans="2:21" ht="15.75">
      <c r="B87" s="1293"/>
      <c r="C87" s="102"/>
      <c r="D87" s="398" t="s">
        <v>339</v>
      </c>
      <c r="E87" s="394"/>
      <c r="F87" s="544"/>
      <c r="G87" s="396" t="s">
        <v>467</v>
      </c>
      <c r="H87" s="38"/>
      <c r="I87" s="39"/>
      <c r="J87" s="39"/>
      <c r="K87" s="38"/>
      <c r="L87" s="38"/>
      <c r="M87" s="88"/>
      <c r="N87" s="88"/>
      <c r="O87" s="88"/>
      <c r="P87" s="88"/>
      <c r="Q87" s="88"/>
      <c r="R87" s="97"/>
      <c r="S87" s="93"/>
      <c r="T87" s="93"/>
      <c r="U87" s="87"/>
    </row>
    <row r="88" spans="2:21" ht="15.75">
      <c r="B88" s="1293"/>
      <c r="C88" s="102" t="s">
        <v>259</v>
      </c>
      <c r="D88" s="398"/>
      <c r="E88" s="36"/>
      <c r="F88" s="167"/>
      <c r="G88" s="38"/>
      <c r="H88" s="38"/>
      <c r="I88" s="39"/>
      <c r="J88" s="39"/>
      <c r="K88" s="38"/>
      <c r="L88" s="38"/>
      <c r="M88" s="88"/>
      <c r="N88" s="88"/>
      <c r="O88" s="88"/>
      <c r="P88" s="88"/>
      <c r="Q88" s="88"/>
      <c r="R88" s="97"/>
      <c r="S88" s="93"/>
      <c r="T88" s="93"/>
      <c r="U88" s="87"/>
    </row>
    <row r="89" spans="2:21" ht="15.75">
      <c r="B89" s="1293"/>
      <c r="C89" s="102"/>
      <c r="D89" s="398" t="s">
        <v>14</v>
      </c>
      <c r="E89" s="36"/>
      <c r="F89" s="544">
        <v>100</v>
      </c>
      <c r="G89" s="38"/>
      <c r="H89" s="38"/>
      <c r="I89" s="39"/>
      <c r="J89" s="39"/>
      <c r="K89" s="38"/>
      <c r="L89" s="38"/>
      <c r="M89" s="88"/>
      <c r="N89" s="88"/>
      <c r="O89" s="88"/>
      <c r="P89" s="88"/>
      <c r="Q89" s="88"/>
      <c r="R89" s="97"/>
      <c r="S89" s="93"/>
      <c r="T89" s="93"/>
      <c r="U89" s="87"/>
    </row>
    <row r="90" spans="2:21" ht="15.75">
      <c r="B90" s="1293"/>
      <c r="C90" s="102"/>
      <c r="D90" s="398" t="s">
        <v>339</v>
      </c>
      <c r="E90" s="36"/>
      <c r="F90" s="544"/>
      <c r="G90" s="396" t="s">
        <v>358</v>
      </c>
      <c r="H90" s="38"/>
      <c r="I90" s="39"/>
      <c r="J90" s="39"/>
      <c r="K90" s="38"/>
      <c r="L90" s="38"/>
      <c r="M90" s="88"/>
      <c r="N90" s="88"/>
      <c r="O90" s="88"/>
      <c r="P90" s="88"/>
      <c r="Q90" s="88"/>
      <c r="R90" s="97"/>
      <c r="S90" s="93"/>
      <c r="T90" s="93"/>
      <c r="U90" s="87"/>
    </row>
    <row r="91" spans="2:21" ht="15.75">
      <c r="B91" s="1293"/>
      <c r="C91" s="409" t="s">
        <v>260</v>
      </c>
      <c r="D91" s="398"/>
      <c r="E91" s="36"/>
      <c r="F91" s="37"/>
      <c r="G91" s="38"/>
      <c r="H91" s="38"/>
      <c r="I91" s="39"/>
      <c r="J91" s="39"/>
      <c r="K91" s="38"/>
      <c r="L91" s="38"/>
      <c r="M91" s="88"/>
      <c r="N91" s="88"/>
      <c r="O91" s="88"/>
      <c r="P91" s="88"/>
      <c r="Q91" s="88"/>
      <c r="R91" s="97"/>
      <c r="S91" s="93"/>
      <c r="T91" s="93"/>
      <c r="U91" s="87"/>
    </row>
    <row r="92" spans="2:21" ht="15.75">
      <c r="B92" s="1293"/>
      <c r="C92" s="102"/>
      <c r="D92" s="398" t="s">
        <v>215</v>
      </c>
      <c r="E92" s="394">
        <v>1968</v>
      </c>
      <c r="F92" s="395">
        <v>100</v>
      </c>
      <c r="G92" s="38"/>
      <c r="H92" s="38"/>
      <c r="I92" s="39"/>
      <c r="J92" s="39"/>
      <c r="K92" s="38"/>
      <c r="L92" s="38"/>
      <c r="M92" s="88"/>
      <c r="N92" s="88"/>
      <c r="O92" s="88"/>
      <c r="P92" s="88"/>
      <c r="Q92" s="88"/>
      <c r="R92" s="97"/>
      <c r="S92" s="93"/>
      <c r="T92" s="93"/>
      <c r="U92" s="87"/>
    </row>
    <row r="93" spans="2:21" ht="15.75">
      <c r="B93" s="1293"/>
      <c r="C93" s="102"/>
      <c r="D93" s="398" t="s">
        <v>351</v>
      </c>
      <c r="E93" s="394">
        <v>1964</v>
      </c>
      <c r="F93" s="395">
        <v>71</v>
      </c>
      <c r="G93" s="396">
        <v>280</v>
      </c>
      <c r="H93" s="396">
        <v>41</v>
      </c>
      <c r="I93" s="397">
        <v>128</v>
      </c>
      <c r="J93" s="397"/>
      <c r="K93" s="396">
        <v>37</v>
      </c>
      <c r="L93" s="38"/>
      <c r="M93" s="88"/>
      <c r="N93" s="88"/>
      <c r="O93" s="88"/>
      <c r="P93" s="88"/>
      <c r="Q93" s="88"/>
      <c r="R93" s="97"/>
      <c r="S93" s="93"/>
      <c r="T93" s="93"/>
      <c r="U93" s="87"/>
    </row>
    <row r="94" spans="2:21" ht="15.75">
      <c r="B94" s="1293"/>
      <c r="C94" s="102"/>
      <c r="D94" s="398" t="s">
        <v>10</v>
      </c>
      <c r="E94" s="394">
        <v>1989</v>
      </c>
      <c r="F94" s="395">
        <v>72</v>
      </c>
      <c r="G94" s="396" t="s">
        <v>473</v>
      </c>
      <c r="H94" s="38"/>
      <c r="I94" s="39"/>
      <c r="J94" s="39"/>
      <c r="K94" s="38"/>
      <c r="L94" s="38"/>
      <c r="M94" s="88"/>
      <c r="N94" s="88"/>
      <c r="O94" s="88"/>
      <c r="P94" s="88"/>
      <c r="Q94" s="88"/>
      <c r="R94" s="97"/>
      <c r="S94" s="93"/>
      <c r="T94" s="93"/>
      <c r="U94" s="87"/>
    </row>
    <row r="95" spans="2:21" ht="15.75">
      <c r="B95" s="1293"/>
      <c r="C95" s="102"/>
      <c r="D95" s="398" t="s">
        <v>16</v>
      </c>
      <c r="E95" s="394">
        <v>1989</v>
      </c>
      <c r="F95" s="395">
        <v>72</v>
      </c>
      <c r="G95" s="396" t="s">
        <v>473</v>
      </c>
      <c r="H95" s="38"/>
      <c r="I95" s="39"/>
      <c r="J95" s="39"/>
      <c r="K95" s="38"/>
      <c r="L95" s="38"/>
      <c r="M95" s="88"/>
      <c r="N95" s="88"/>
      <c r="O95" s="88"/>
      <c r="P95" s="88"/>
      <c r="Q95" s="88"/>
      <c r="R95" s="97"/>
      <c r="S95" s="93"/>
      <c r="T95" s="93"/>
      <c r="U95" s="87"/>
    </row>
    <row r="96" spans="2:21" ht="15.75">
      <c r="B96" s="1293"/>
      <c r="C96" s="102"/>
      <c r="D96" s="398" t="s">
        <v>466</v>
      </c>
      <c r="E96" s="36"/>
      <c r="F96" s="395"/>
      <c r="G96" s="396" t="s">
        <v>474</v>
      </c>
      <c r="H96" s="38"/>
      <c r="I96" s="39"/>
      <c r="J96" s="39"/>
      <c r="K96" s="38"/>
      <c r="L96" s="38"/>
      <c r="M96" s="88"/>
      <c r="N96" s="88"/>
      <c r="O96" s="88"/>
      <c r="P96" s="88"/>
      <c r="Q96" s="88"/>
      <c r="R96" s="97"/>
      <c r="S96" s="93"/>
      <c r="T96" s="93"/>
      <c r="U96" s="87"/>
    </row>
    <row r="97" spans="1:44" ht="15.75">
      <c r="B97" s="1294"/>
      <c r="C97" s="102"/>
      <c r="D97" s="398" t="s">
        <v>339</v>
      </c>
      <c r="E97" s="36"/>
      <c r="F97" s="395"/>
      <c r="G97" s="396" t="s">
        <v>468</v>
      </c>
      <c r="H97" s="38"/>
      <c r="I97" s="39"/>
      <c r="J97" s="39"/>
      <c r="K97" s="38"/>
      <c r="L97" s="38"/>
      <c r="M97" s="88"/>
      <c r="N97" s="88"/>
      <c r="O97" s="88"/>
      <c r="P97" s="88"/>
      <c r="Q97" s="88"/>
      <c r="R97" s="97"/>
      <c r="S97" s="93"/>
      <c r="T97" s="93"/>
      <c r="U97" s="87"/>
    </row>
    <row r="98" spans="1:44" ht="15.75">
      <c r="B98" s="1298" t="s">
        <v>261</v>
      </c>
      <c r="C98" s="184"/>
      <c r="D98" s="402"/>
      <c r="E98" s="36"/>
      <c r="F98" s="37"/>
      <c r="G98" s="38"/>
      <c r="H98" s="38"/>
      <c r="I98" s="39"/>
      <c r="J98" s="39"/>
      <c r="K98" s="38"/>
      <c r="L98" s="38"/>
      <c r="M98" s="88"/>
      <c r="N98" s="88"/>
      <c r="O98" s="88"/>
      <c r="P98" s="88"/>
      <c r="Q98" s="88"/>
      <c r="R98" s="97"/>
      <c r="S98" s="93"/>
      <c r="T98" s="93"/>
      <c r="U98" s="87"/>
    </row>
    <row r="99" spans="1:44" ht="15.75">
      <c r="B99" s="1308"/>
      <c r="C99" s="102" t="s">
        <v>262</v>
      </c>
      <c r="D99" s="398"/>
      <c r="E99" s="168"/>
      <c r="F99" s="37"/>
      <c r="G99" s="38"/>
      <c r="H99" s="38"/>
      <c r="I99" s="39"/>
      <c r="J99" s="39"/>
      <c r="K99" s="38"/>
      <c r="L99" s="38"/>
      <c r="M99" s="88"/>
      <c r="N99" s="88"/>
      <c r="O99" s="88"/>
      <c r="P99" s="88"/>
      <c r="Q99" s="88"/>
      <c r="R99" s="97"/>
      <c r="S99" s="93"/>
      <c r="T99" s="93"/>
      <c r="U99" s="87"/>
    </row>
    <row r="100" spans="1:44" s="486" customFormat="1" ht="15.75">
      <c r="A100" s="54"/>
      <c r="B100" s="1308"/>
      <c r="C100" s="102"/>
      <c r="D100" s="398" t="s">
        <v>212</v>
      </c>
      <c r="E100" s="407">
        <v>1970</v>
      </c>
      <c r="F100" s="395">
        <v>100</v>
      </c>
      <c r="G100" s="396" t="s">
        <v>430</v>
      </c>
      <c r="H100" s="396"/>
      <c r="I100" s="397"/>
      <c r="J100" s="397"/>
      <c r="K100" s="396">
        <v>6</v>
      </c>
      <c r="L100" s="396">
        <v>1</v>
      </c>
      <c r="M100" s="358" t="s">
        <v>430</v>
      </c>
      <c r="N100" s="482"/>
      <c r="O100" s="482"/>
      <c r="P100" s="482"/>
      <c r="Q100" s="482"/>
      <c r="R100" s="483"/>
      <c r="S100" s="484"/>
      <c r="T100" s="484"/>
      <c r="U100" s="485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</row>
    <row r="101" spans="1:44" ht="15.75">
      <c r="B101" s="1308"/>
      <c r="C101" s="140"/>
      <c r="D101" s="398" t="s">
        <v>9</v>
      </c>
      <c r="E101" s="407">
        <v>1968</v>
      </c>
      <c r="F101" s="395">
        <v>65</v>
      </c>
      <c r="G101" s="38"/>
      <c r="H101" s="38"/>
      <c r="I101" s="39"/>
      <c r="J101" s="39"/>
      <c r="K101" s="38"/>
      <c r="L101" s="38"/>
      <c r="M101" s="488"/>
      <c r="N101" s="88"/>
      <c r="O101" s="88"/>
      <c r="P101" s="88"/>
      <c r="Q101" s="88"/>
      <c r="R101" s="97"/>
      <c r="S101" s="93"/>
      <c r="T101" s="93"/>
      <c r="U101" s="87"/>
    </row>
    <row r="102" spans="1:44" s="486" customFormat="1" ht="15.75">
      <c r="A102" s="54"/>
      <c r="B102" s="1308"/>
      <c r="C102" s="102"/>
      <c r="D102" s="398" t="s">
        <v>167</v>
      </c>
      <c r="E102" s="407">
        <v>1970</v>
      </c>
      <c r="F102" s="395">
        <v>62</v>
      </c>
      <c r="G102" s="396">
        <v>160</v>
      </c>
      <c r="H102" s="396">
        <v>87</v>
      </c>
      <c r="I102" s="397">
        <v>148.75</v>
      </c>
      <c r="J102" s="397" t="s">
        <v>501</v>
      </c>
      <c r="K102" s="396">
        <v>27</v>
      </c>
      <c r="L102" s="396"/>
      <c r="M102" s="482"/>
      <c r="N102" s="482"/>
      <c r="O102" s="482"/>
      <c r="P102" s="482"/>
      <c r="Q102" s="482"/>
      <c r="R102" s="483"/>
      <c r="S102" s="484"/>
      <c r="T102" s="484"/>
      <c r="U102" s="485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</row>
    <row r="103" spans="1:44" s="486" customFormat="1" ht="15.75">
      <c r="A103" s="54"/>
      <c r="B103" s="1308"/>
      <c r="C103" s="102"/>
      <c r="D103" s="398" t="s">
        <v>24</v>
      </c>
      <c r="E103" s="407">
        <v>1972</v>
      </c>
      <c r="F103" s="395">
        <v>100</v>
      </c>
      <c r="G103" s="396" t="s">
        <v>431</v>
      </c>
      <c r="H103" s="396"/>
      <c r="I103" s="397"/>
      <c r="J103" s="397"/>
      <c r="K103" s="396"/>
      <c r="L103" s="396"/>
      <c r="M103" s="482"/>
      <c r="N103" s="482"/>
      <c r="O103" s="482"/>
      <c r="P103" s="482"/>
      <c r="Q103" s="482"/>
      <c r="R103" s="483"/>
      <c r="S103" s="484"/>
      <c r="T103" s="484"/>
      <c r="U103" s="485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</row>
    <row r="104" spans="1:44" s="486" customFormat="1" ht="15.75">
      <c r="A104" s="54"/>
      <c r="B104" s="1308"/>
      <c r="C104" s="102"/>
      <c r="D104" s="398" t="s">
        <v>215</v>
      </c>
      <c r="E104" s="407">
        <v>1989</v>
      </c>
      <c r="F104" s="395">
        <v>76</v>
      </c>
      <c r="G104" s="396" t="s">
        <v>428</v>
      </c>
      <c r="H104" s="396"/>
      <c r="I104" s="397"/>
      <c r="J104" s="397"/>
      <c r="K104" s="396">
        <v>5</v>
      </c>
      <c r="L104" s="396"/>
      <c r="N104" s="482"/>
      <c r="O104" s="482"/>
      <c r="P104" s="482"/>
      <c r="Q104" s="482"/>
      <c r="R104" s="483"/>
      <c r="S104" s="484"/>
      <c r="T104" s="484"/>
      <c r="U104" s="485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</row>
    <row r="105" spans="1:44" s="486" customFormat="1" ht="15.75">
      <c r="A105" s="54"/>
      <c r="B105" s="1308"/>
      <c r="C105" s="102"/>
      <c r="D105" s="398" t="s">
        <v>10</v>
      </c>
      <c r="E105" s="407">
        <v>1989</v>
      </c>
      <c r="F105" s="395">
        <v>100</v>
      </c>
      <c r="G105" s="554" t="s">
        <v>484</v>
      </c>
      <c r="H105" s="396"/>
      <c r="I105" s="397"/>
      <c r="J105" s="397"/>
      <c r="K105" s="396">
        <v>2</v>
      </c>
      <c r="L105" s="396"/>
      <c r="M105" s="358" t="s">
        <v>430</v>
      </c>
      <c r="N105" s="482"/>
      <c r="O105" s="482"/>
      <c r="P105" s="482"/>
      <c r="Q105" s="482"/>
      <c r="R105" s="483"/>
      <c r="S105" s="484"/>
      <c r="T105" s="484"/>
      <c r="U105" s="485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</row>
    <row r="106" spans="1:44" s="486" customFormat="1" ht="15.75">
      <c r="A106" s="54"/>
      <c r="B106" s="1308"/>
      <c r="C106" s="102"/>
      <c r="D106" s="398" t="s">
        <v>16</v>
      </c>
      <c r="E106" s="407">
        <v>1976</v>
      </c>
      <c r="F106" s="395"/>
      <c r="G106" s="411" t="s">
        <v>482</v>
      </c>
      <c r="H106" s="396"/>
      <c r="I106" s="397"/>
      <c r="J106" s="397"/>
      <c r="K106" s="396">
        <v>1</v>
      </c>
      <c r="L106" s="396"/>
      <c r="M106" s="482"/>
      <c r="N106" s="482"/>
      <c r="O106" s="482"/>
      <c r="P106" s="482"/>
      <c r="Q106" s="482"/>
      <c r="R106" s="483"/>
      <c r="S106" s="484"/>
      <c r="T106" s="484"/>
      <c r="U106" s="485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</row>
    <row r="107" spans="1:44" s="486" customFormat="1" ht="15.75">
      <c r="A107" s="54"/>
      <c r="B107" s="1308"/>
      <c r="C107" s="102"/>
      <c r="D107" s="398" t="s">
        <v>13</v>
      </c>
      <c r="E107" s="407">
        <v>1986</v>
      </c>
      <c r="F107" s="395"/>
      <c r="G107" s="411"/>
      <c r="H107" s="396"/>
      <c r="I107" s="397"/>
      <c r="J107" s="397"/>
      <c r="K107" s="396">
        <v>1</v>
      </c>
      <c r="L107" s="396"/>
      <c r="M107" s="482"/>
      <c r="N107" s="482"/>
      <c r="O107" s="482"/>
      <c r="P107" s="482"/>
      <c r="Q107" s="482"/>
      <c r="R107" s="483"/>
      <c r="S107" s="484"/>
      <c r="T107" s="484"/>
      <c r="U107" s="485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</row>
    <row r="108" spans="1:44" s="486" customFormat="1" ht="15.75">
      <c r="A108" s="54"/>
      <c r="B108" s="1308"/>
      <c r="C108" s="102"/>
      <c r="D108" s="398" t="s">
        <v>218</v>
      </c>
      <c r="E108" s="407">
        <v>1970</v>
      </c>
      <c r="F108" s="395"/>
      <c r="G108" s="411"/>
      <c r="H108" s="396"/>
      <c r="I108" s="397"/>
      <c r="J108" s="397"/>
      <c r="K108" s="396">
        <v>1</v>
      </c>
      <c r="L108" s="396"/>
      <c r="M108" s="482"/>
      <c r="N108" s="482"/>
      <c r="O108" s="482"/>
      <c r="P108" s="482"/>
      <c r="Q108" s="482"/>
      <c r="R108" s="483"/>
      <c r="S108" s="484"/>
      <c r="T108" s="484"/>
      <c r="U108" s="485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</row>
    <row r="109" spans="1:44" s="486" customFormat="1" ht="25.5">
      <c r="A109" s="54"/>
      <c r="B109" s="1308"/>
      <c r="C109" s="102"/>
      <c r="D109" s="398" t="s">
        <v>421</v>
      </c>
      <c r="E109" s="407">
        <v>1980</v>
      </c>
      <c r="F109" s="395"/>
      <c r="G109" s="396"/>
      <c r="H109" s="396"/>
      <c r="I109" s="397"/>
      <c r="J109" s="397"/>
      <c r="K109" s="396">
        <v>2</v>
      </c>
      <c r="L109" s="396"/>
      <c r="M109" s="482"/>
      <c r="N109" s="482"/>
      <c r="O109" s="482"/>
      <c r="P109" s="482"/>
      <c r="Q109" s="482"/>
      <c r="R109" s="483"/>
      <c r="S109" s="484"/>
      <c r="T109" s="484"/>
      <c r="U109" s="485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</row>
    <row r="110" spans="1:44" s="486" customFormat="1" ht="25.5">
      <c r="A110" s="54"/>
      <c r="B110" s="1308"/>
      <c r="C110" s="102"/>
      <c r="D110" s="398" t="s">
        <v>348</v>
      </c>
      <c r="E110" s="407">
        <v>1976</v>
      </c>
      <c r="F110" s="395"/>
      <c r="G110" s="396"/>
      <c r="H110" s="396"/>
      <c r="I110" s="397"/>
      <c r="J110" s="397"/>
      <c r="K110" s="396">
        <v>1</v>
      </c>
      <c r="L110" s="396"/>
      <c r="M110" s="482"/>
      <c r="N110" s="482"/>
      <c r="O110" s="482"/>
      <c r="P110" s="482"/>
      <c r="Q110" s="482"/>
      <c r="R110" s="483"/>
      <c r="S110" s="484"/>
      <c r="T110" s="484"/>
      <c r="U110" s="485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</row>
    <row r="111" spans="1:44" s="486" customFormat="1" ht="15.75">
      <c r="A111" s="54"/>
      <c r="B111" s="1308"/>
      <c r="C111" s="102"/>
      <c r="D111" s="398" t="s">
        <v>451</v>
      </c>
      <c r="E111" s="407"/>
      <c r="F111" s="395"/>
      <c r="G111" s="396"/>
      <c r="H111" s="396"/>
      <c r="I111" s="397"/>
      <c r="J111" s="397"/>
      <c r="K111" s="396"/>
      <c r="L111" s="396"/>
      <c r="M111" s="482"/>
      <c r="N111" s="482"/>
      <c r="O111" s="482"/>
      <c r="P111" s="482"/>
      <c r="Q111" s="482"/>
      <c r="R111" s="483"/>
      <c r="S111" s="484"/>
      <c r="T111" s="484"/>
      <c r="U111" s="485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</row>
    <row r="112" spans="1:44" ht="15.75">
      <c r="B112" s="1308"/>
      <c r="C112" s="102"/>
      <c r="D112" s="398" t="s">
        <v>339</v>
      </c>
      <c r="E112" s="168"/>
      <c r="F112" s="37"/>
      <c r="G112" s="396" t="s">
        <v>481</v>
      </c>
      <c r="H112" s="38"/>
      <c r="I112" s="39"/>
      <c r="J112" s="39"/>
      <c r="K112" s="38"/>
      <c r="L112" s="38"/>
      <c r="M112" s="88"/>
      <c r="N112" s="88"/>
      <c r="O112" s="88"/>
      <c r="P112" s="88"/>
      <c r="Q112" s="88"/>
      <c r="R112" s="97"/>
      <c r="S112" s="93"/>
      <c r="T112" s="93"/>
      <c r="U112" s="87"/>
    </row>
    <row r="113" spans="1:44" ht="15.75">
      <c r="B113" s="1308"/>
      <c r="C113" s="102" t="s">
        <v>263</v>
      </c>
      <c r="D113" s="471"/>
      <c r="E113" s="36"/>
      <c r="F113" s="37"/>
      <c r="G113" s="38"/>
      <c r="H113" s="38"/>
      <c r="I113" s="39"/>
      <c r="J113" s="39"/>
      <c r="K113" s="38"/>
      <c r="L113" s="38"/>
      <c r="M113" s="88"/>
      <c r="N113" s="88"/>
      <c r="O113" s="88"/>
      <c r="P113" s="88"/>
      <c r="Q113" s="88"/>
      <c r="R113" s="97"/>
      <c r="S113" s="93"/>
      <c r="T113" s="93"/>
      <c r="U113" s="87"/>
    </row>
    <row r="114" spans="1:44" s="486" customFormat="1" ht="15.75">
      <c r="A114" s="54"/>
      <c r="B114" s="1308"/>
      <c r="C114" s="102"/>
      <c r="D114" s="398" t="s">
        <v>434</v>
      </c>
      <c r="E114" s="394">
        <v>1968</v>
      </c>
      <c r="F114" s="395">
        <v>100</v>
      </c>
      <c r="G114" s="396" t="s">
        <v>428</v>
      </c>
      <c r="H114" s="396"/>
      <c r="I114" s="397"/>
      <c r="J114" s="397"/>
      <c r="K114" s="396">
        <v>2</v>
      </c>
      <c r="L114" s="396"/>
      <c r="M114" s="358" t="s">
        <v>430</v>
      </c>
      <c r="N114" s="482"/>
      <c r="O114" s="482"/>
      <c r="P114" s="482"/>
      <c r="Q114" s="482"/>
      <c r="R114" s="483"/>
      <c r="S114" s="484"/>
      <c r="T114" s="484"/>
      <c r="U114" s="485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</row>
    <row r="115" spans="1:44" s="486" customFormat="1" ht="15.75">
      <c r="A115" s="54"/>
      <c r="B115" s="1308"/>
      <c r="C115" s="102"/>
      <c r="D115" s="398" t="s">
        <v>10</v>
      </c>
      <c r="E115" s="394">
        <v>1968</v>
      </c>
      <c r="F115" s="395">
        <v>100</v>
      </c>
      <c r="G115" s="411" t="s">
        <v>429</v>
      </c>
      <c r="H115" s="396"/>
      <c r="I115" s="397"/>
      <c r="J115" s="397"/>
      <c r="K115" s="396">
        <v>1</v>
      </c>
      <c r="L115" s="396"/>
      <c r="M115" s="358" t="s">
        <v>430</v>
      </c>
      <c r="N115" s="482"/>
      <c r="O115" s="482"/>
      <c r="P115" s="482"/>
      <c r="Q115" s="482"/>
      <c r="R115" s="483"/>
      <c r="S115" s="484"/>
      <c r="T115" s="484"/>
      <c r="U115" s="485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</row>
    <row r="116" spans="1:44" s="486" customFormat="1" ht="15.75">
      <c r="A116" s="54"/>
      <c r="B116" s="1308"/>
      <c r="C116" s="102"/>
      <c r="D116" s="398" t="s">
        <v>16</v>
      </c>
      <c r="E116" s="394">
        <v>1984</v>
      </c>
      <c r="F116" s="395"/>
      <c r="G116" s="411"/>
      <c r="H116" s="396"/>
      <c r="I116" s="397"/>
      <c r="J116" s="397"/>
      <c r="K116" s="396">
        <v>1</v>
      </c>
      <c r="L116" s="396"/>
      <c r="M116" s="482"/>
      <c r="N116" s="482"/>
      <c r="O116" s="482"/>
      <c r="P116" s="482"/>
      <c r="Q116" s="482"/>
      <c r="R116" s="483"/>
      <c r="S116" s="484"/>
      <c r="T116" s="484"/>
      <c r="U116" s="485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</row>
    <row r="117" spans="1:44" s="486" customFormat="1" ht="15.75">
      <c r="A117" s="54"/>
      <c r="B117" s="1308"/>
      <c r="C117" s="102"/>
      <c r="D117" s="398" t="s">
        <v>13</v>
      </c>
      <c r="E117" s="394">
        <v>1984</v>
      </c>
      <c r="F117" s="395"/>
      <c r="G117" s="411" t="s">
        <v>483</v>
      </c>
      <c r="H117" s="396"/>
      <c r="I117" s="397"/>
      <c r="J117" s="397"/>
      <c r="K117" s="396">
        <v>1</v>
      </c>
      <c r="L117" s="396"/>
      <c r="M117" s="482"/>
      <c r="N117" s="482"/>
      <c r="O117" s="482"/>
      <c r="P117" s="482"/>
      <c r="Q117" s="482"/>
      <c r="R117" s="483"/>
      <c r="S117" s="484"/>
      <c r="T117" s="484"/>
      <c r="U117" s="485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</row>
    <row r="118" spans="1:44" s="486" customFormat="1" ht="15.75">
      <c r="A118" s="54"/>
      <c r="B118" s="1308"/>
      <c r="C118" s="102"/>
      <c r="D118" s="398" t="s">
        <v>422</v>
      </c>
      <c r="E118" s="394"/>
      <c r="F118" s="395"/>
      <c r="G118" s="396"/>
      <c r="H118" s="396"/>
      <c r="I118" s="397"/>
      <c r="J118" s="397"/>
      <c r="K118" s="396"/>
      <c r="L118" s="396"/>
      <c r="M118" s="482"/>
      <c r="N118" s="482"/>
      <c r="O118" s="482"/>
      <c r="P118" s="482"/>
      <c r="Q118" s="482"/>
      <c r="R118" s="483"/>
      <c r="S118" s="484"/>
      <c r="T118" s="484"/>
      <c r="U118" s="485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</row>
    <row r="119" spans="1:44" ht="15.75">
      <c r="B119" s="1309"/>
      <c r="C119" s="102"/>
      <c r="D119" s="471"/>
      <c r="E119" s="36"/>
      <c r="F119" s="37"/>
      <c r="G119" s="38"/>
      <c r="H119" s="38"/>
      <c r="I119" s="39"/>
      <c r="J119" s="39"/>
      <c r="K119" s="38"/>
      <c r="L119" s="38"/>
      <c r="M119" s="88"/>
      <c r="N119" s="88"/>
      <c r="O119" s="88"/>
      <c r="P119" s="88"/>
      <c r="Q119" s="88"/>
      <c r="R119" s="97"/>
      <c r="S119" s="93"/>
      <c r="T119" s="93"/>
      <c r="U119" s="87"/>
    </row>
    <row r="120" spans="1:44" ht="15.75">
      <c r="B120" s="1292" t="s">
        <v>264</v>
      </c>
      <c r="C120" s="184"/>
      <c r="D120" s="402"/>
      <c r="E120" s="36"/>
      <c r="F120" s="37"/>
      <c r="G120" s="410"/>
      <c r="H120" s="47"/>
      <c r="I120" s="39"/>
      <c r="J120" s="39"/>
      <c r="K120" s="38"/>
      <c r="L120" s="38"/>
      <c r="M120" s="88"/>
      <c r="N120" s="88"/>
      <c r="O120" s="88"/>
      <c r="P120" s="88"/>
      <c r="Q120" s="88"/>
      <c r="R120" s="97"/>
      <c r="S120" s="93"/>
      <c r="T120" s="93"/>
      <c r="U120" s="87"/>
    </row>
    <row r="121" spans="1:44" ht="15.75">
      <c r="B121" s="1313"/>
      <c r="C121" s="102" t="s">
        <v>265</v>
      </c>
      <c r="D121" s="398"/>
      <c r="E121" s="36"/>
      <c r="F121" s="37"/>
      <c r="G121" s="410"/>
      <c r="H121" s="47"/>
      <c r="I121" s="39"/>
      <c r="J121" s="39"/>
      <c r="K121" s="38"/>
      <c r="L121" s="38"/>
      <c r="M121" s="88"/>
      <c r="N121" s="88"/>
      <c r="O121" s="88"/>
      <c r="P121" s="88"/>
      <c r="Q121" s="88"/>
      <c r="R121" s="97"/>
      <c r="S121" s="93"/>
      <c r="T121" s="93"/>
      <c r="U121" s="87"/>
    </row>
    <row r="122" spans="1:44" ht="15.75">
      <c r="B122" s="1313"/>
      <c r="C122" s="102"/>
      <c r="D122" s="398" t="s">
        <v>212</v>
      </c>
      <c r="E122" s="36"/>
      <c r="F122" s="37">
        <v>20</v>
      </c>
      <c r="G122" s="410"/>
      <c r="H122" s="47"/>
      <c r="I122" s="39"/>
      <c r="J122" s="39"/>
      <c r="K122" s="396">
        <v>5</v>
      </c>
      <c r="L122" s="38"/>
      <c r="M122" s="88"/>
      <c r="N122" s="88"/>
      <c r="O122" s="88"/>
      <c r="P122" s="88"/>
      <c r="Q122" s="88"/>
      <c r="R122" s="97"/>
      <c r="S122" s="93"/>
      <c r="T122" s="93"/>
      <c r="U122" s="87"/>
    </row>
    <row r="123" spans="1:44" ht="15.75">
      <c r="B123" s="1313"/>
      <c r="C123" s="102"/>
      <c r="D123" s="398" t="s">
        <v>434</v>
      </c>
      <c r="E123" s="36"/>
      <c r="F123" s="37"/>
      <c r="G123" s="410" t="s">
        <v>341</v>
      </c>
      <c r="H123" s="47"/>
      <c r="I123" s="39"/>
      <c r="J123" s="39"/>
      <c r="K123" s="396">
        <v>3</v>
      </c>
      <c r="L123" s="38"/>
      <c r="M123" s="88"/>
      <c r="N123" s="88"/>
      <c r="O123" s="88"/>
      <c r="P123" s="88"/>
      <c r="Q123" s="88"/>
      <c r="R123" s="97"/>
      <c r="S123" s="93"/>
      <c r="T123" s="93"/>
      <c r="U123" s="87"/>
    </row>
    <row r="124" spans="1:44" ht="15.75">
      <c r="B124" s="1313"/>
      <c r="C124" s="102"/>
      <c r="D124" s="398" t="s">
        <v>10</v>
      </c>
      <c r="E124" s="36"/>
      <c r="F124" s="37"/>
      <c r="G124" s="47">
        <v>10000</v>
      </c>
      <c r="H124" s="47"/>
      <c r="I124" s="39"/>
      <c r="J124" s="39"/>
      <c r="K124" s="396">
        <v>2</v>
      </c>
      <c r="L124" s="38"/>
      <c r="M124" s="88"/>
      <c r="N124" s="88"/>
      <c r="O124" s="88"/>
      <c r="P124" s="88"/>
      <c r="Q124" s="88"/>
      <c r="R124" s="97"/>
      <c r="S124" s="93"/>
      <c r="T124" s="93"/>
      <c r="U124" s="87"/>
    </row>
    <row r="125" spans="1:44" ht="15.75">
      <c r="B125" s="1313"/>
      <c r="C125" s="102"/>
      <c r="D125" s="398" t="s">
        <v>351</v>
      </c>
      <c r="E125" s="394">
        <v>1968</v>
      </c>
      <c r="F125" s="395">
        <v>65</v>
      </c>
      <c r="G125" s="360">
        <v>192</v>
      </c>
      <c r="H125" s="360">
        <v>27</v>
      </c>
      <c r="I125" s="397">
        <v>162</v>
      </c>
      <c r="J125" s="397" t="s">
        <v>502</v>
      </c>
      <c r="K125" s="396">
        <v>20</v>
      </c>
      <c r="L125" s="38"/>
      <c r="M125" s="88"/>
      <c r="N125" s="88"/>
      <c r="O125" s="88"/>
      <c r="P125" s="88"/>
      <c r="Q125" s="88"/>
      <c r="R125" s="97"/>
      <c r="S125" s="93"/>
      <c r="T125" s="93"/>
      <c r="U125" s="87"/>
    </row>
    <row r="126" spans="1:44" ht="25.5">
      <c r="B126" s="1313"/>
      <c r="C126" s="102"/>
      <c r="D126" s="398" t="s">
        <v>348</v>
      </c>
      <c r="E126" s="394"/>
      <c r="F126" s="395"/>
      <c r="G126" s="360"/>
      <c r="H126" s="360"/>
      <c r="I126" s="397"/>
      <c r="J126" s="397"/>
      <c r="K126" s="396"/>
      <c r="L126" s="38"/>
      <c r="M126" s="88"/>
      <c r="N126" s="88"/>
      <c r="O126" s="88"/>
      <c r="P126" s="88"/>
      <c r="Q126" s="88"/>
      <c r="R126" s="97"/>
      <c r="S126" s="93"/>
      <c r="T126" s="93"/>
      <c r="U126" s="87"/>
    </row>
    <row r="127" spans="1:44" ht="15.75">
      <c r="B127" s="1313"/>
      <c r="C127" s="102"/>
      <c r="D127" s="471" t="s">
        <v>13</v>
      </c>
      <c r="E127" s="36"/>
      <c r="F127" s="37"/>
      <c r="G127" s="410"/>
      <c r="H127" s="47"/>
      <c r="I127" s="39"/>
      <c r="J127" s="39"/>
      <c r="K127" s="396"/>
      <c r="L127" s="38"/>
      <c r="M127" s="88"/>
      <c r="N127" s="88"/>
      <c r="O127" s="88"/>
      <c r="P127" s="88"/>
      <c r="Q127" s="88"/>
      <c r="R127" s="97"/>
      <c r="S127" s="93"/>
      <c r="T127" s="93"/>
      <c r="U127" s="87"/>
    </row>
    <row r="128" spans="1:44" ht="15.75">
      <c r="B128" s="1313"/>
      <c r="C128" s="102"/>
      <c r="D128" s="471" t="s">
        <v>352</v>
      </c>
      <c r="E128" s="36"/>
      <c r="F128" s="37"/>
      <c r="G128" s="410"/>
      <c r="H128" s="47"/>
      <c r="I128" s="39"/>
      <c r="J128" s="39"/>
      <c r="K128" s="396"/>
      <c r="L128" s="38"/>
      <c r="M128" s="88"/>
      <c r="N128" s="88"/>
      <c r="O128" s="88"/>
      <c r="P128" s="88"/>
      <c r="Q128" s="88"/>
      <c r="R128" s="97"/>
      <c r="S128" s="93"/>
      <c r="T128" s="93"/>
      <c r="U128" s="87"/>
    </row>
    <row r="129" spans="2:21" ht="15.75">
      <c r="B129" s="1313"/>
      <c r="C129" s="102"/>
      <c r="D129" s="471" t="s">
        <v>16</v>
      </c>
      <c r="E129" s="36">
        <v>1989</v>
      </c>
      <c r="F129" s="37">
        <v>25</v>
      </c>
      <c r="G129" s="410"/>
      <c r="H129" s="47"/>
      <c r="I129" s="39"/>
      <c r="J129" s="39"/>
      <c r="K129" s="396"/>
      <c r="L129" s="38"/>
      <c r="M129" s="88"/>
      <c r="N129" s="88"/>
      <c r="O129" s="88"/>
      <c r="P129" s="88"/>
      <c r="Q129" s="88"/>
      <c r="R129" s="97"/>
      <c r="S129" s="93"/>
      <c r="T129" s="93"/>
      <c r="U129" s="87"/>
    </row>
    <row r="130" spans="2:21" ht="15.75">
      <c r="B130" s="1313"/>
      <c r="C130" s="102" t="s">
        <v>266</v>
      </c>
      <c r="D130" s="398"/>
      <c r="E130" s="36"/>
      <c r="F130" s="167"/>
      <c r="G130" s="38"/>
      <c r="H130" s="38"/>
      <c r="I130" s="39"/>
      <c r="J130" s="39"/>
      <c r="K130" s="396"/>
      <c r="L130" s="38"/>
      <c r="M130" s="88"/>
      <c r="N130" s="88"/>
      <c r="O130" s="88"/>
      <c r="P130" s="88"/>
      <c r="Q130" s="88"/>
      <c r="R130" s="97"/>
      <c r="S130" s="93"/>
      <c r="T130" s="93"/>
      <c r="U130" s="87"/>
    </row>
    <row r="131" spans="2:21" ht="15.75">
      <c r="B131" s="1313"/>
      <c r="C131" s="102"/>
      <c r="D131" s="398" t="s">
        <v>438</v>
      </c>
      <c r="E131" s="36"/>
      <c r="F131" s="167"/>
      <c r="G131" s="38"/>
      <c r="H131" s="38"/>
      <c r="I131" s="39"/>
      <c r="J131" s="39"/>
      <c r="K131" s="396">
        <v>2</v>
      </c>
      <c r="L131" s="38"/>
      <c r="M131" s="88"/>
      <c r="N131" s="88"/>
      <c r="O131" s="88"/>
      <c r="P131" s="88"/>
      <c r="Q131" s="88"/>
      <c r="R131" s="97"/>
      <c r="S131" s="93"/>
      <c r="T131" s="93"/>
      <c r="U131" s="87"/>
    </row>
    <row r="132" spans="2:21" ht="15.75">
      <c r="B132" s="1314"/>
      <c r="C132" s="102"/>
      <c r="D132" s="398" t="s">
        <v>10</v>
      </c>
      <c r="E132" s="36"/>
      <c r="F132" s="167"/>
      <c r="G132" s="38"/>
      <c r="H132" s="38"/>
      <c r="I132" s="39"/>
      <c r="J132" s="39"/>
      <c r="K132" s="396">
        <v>1</v>
      </c>
      <c r="L132" s="38"/>
      <c r="M132" s="88"/>
      <c r="N132" s="88"/>
      <c r="O132" s="88"/>
      <c r="P132" s="88"/>
      <c r="Q132" s="88"/>
      <c r="R132" s="97"/>
      <c r="S132" s="93"/>
      <c r="T132" s="93"/>
      <c r="U132" s="87"/>
    </row>
    <row r="133" spans="2:21" ht="15.75">
      <c r="B133" s="1300" t="s">
        <v>267</v>
      </c>
      <c r="C133" s="184"/>
      <c r="D133" s="402"/>
      <c r="E133" s="394"/>
      <c r="F133" s="395"/>
      <c r="G133" s="396"/>
      <c r="H133" s="396"/>
      <c r="I133" s="397"/>
      <c r="J133" s="397"/>
      <c r="K133" s="396"/>
      <c r="L133" s="396"/>
      <c r="M133" s="88"/>
      <c r="N133" s="88"/>
      <c r="O133" s="88"/>
      <c r="P133" s="88"/>
      <c r="Q133" s="88"/>
      <c r="R133" s="97"/>
      <c r="S133" s="93"/>
      <c r="T133" s="93"/>
      <c r="U133" s="87"/>
    </row>
    <row r="134" spans="2:21" ht="15" customHeight="1">
      <c r="B134" s="1301"/>
      <c r="C134" s="409" t="s">
        <v>268</v>
      </c>
      <c r="D134" s="398" t="s">
        <v>212</v>
      </c>
      <c r="E134" s="407">
        <v>1988</v>
      </c>
      <c r="F134" s="395">
        <v>62</v>
      </c>
      <c r="G134" s="408"/>
      <c r="H134" s="396"/>
      <c r="I134" s="397"/>
      <c r="J134" s="397"/>
      <c r="K134" s="396">
        <v>5</v>
      </c>
      <c r="L134" s="396"/>
      <c r="M134" s="88"/>
      <c r="N134" s="88"/>
      <c r="O134" s="88"/>
      <c r="P134" s="88"/>
      <c r="Q134" s="88"/>
      <c r="R134" s="97"/>
      <c r="S134" s="93"/>
      <c r="T134" s="93"/>
      <c r="U134" s="87"/>
    </row>
    <row r="135" spans="2:21" ht="15.75">
      <c r="B135" s="1301"/>
      <c r="C135" s="409"/>
      <c r="D135" s="398" t="s">
        <v>434</v>
      </c>
      <c r="E135" s="407">
        <v>1952</v>
      </c>
      <c r="F135" s="395">
        <v>100</v>
      </c>
      <c r="G135" s="408" t="s">
        <v>342</v>
      </c>
      <c r="H135" s="396"/>
      <c r="I135" s="397"/>
      <c r="J135" s="397"/>
      <c r="K135" s="396"/>
      <c r="L135" s="396"/>
      <c r="M135" s="88"/>
      <c r="N135" s="88"/>
      <c r="O135" s="88"/>
      <c r="P135" s="88"/>
      <c r="Q135" s="88"/>
      <c r="R135" s="97"/>
      <c r="S135" s="93"/>
      <c r="T135" s="93"/>
      <c r="U135" s="87"/>
    </row>
    <row r="136" spans="2:21" ht="15.75">
      <c r="B136" s="1301"/>
      <c r="C136" s="409"/>
      <c r="D136" s="398" t="s">
        <v>167</v>
      </c>
      <c r="E136" s="407">
        <v>1971</v>
      </c>
      <c r="F136" s="395">
        <v>60</v>
      </c>
      <c r="G136" s="408">
        <v>192</v>
      </c>
      <c r="H136" s="396">
        <v>38</v>
      </c>
      <c r="I136" s="397">
        <v>157.5</v>
      </c>
      <c r="J136" s="397" t="s">
        <v>502</v>
      </c>
      <c r="K136" s="396">
        <v>20</v>
      </c>
      <c r="L136" s="396"/>
      <c r="M136" s="88"/>
      <c r="N136" s="88"/>
      <c r="O136" s="88"/>
      <c r="P136" s="88"/>
      <c r="Q136" s="88"/>
      <c r="R136" s="97"/>
      <c r="S136" s="93"/>
      <c r="T136" s="93"/>
      <c r="U136" s="87"/>
    </row>
    <row r="137" spans="2:21" ht="15.75">
      <c r="B137" s="1301"/>
      <c r="C137" s="409"/>
      <c r="D137" s="398" t="s">
        <v>16</v>
      </c>
      <c r="E137" s="407">
        <v>1970</v>
      </c>
      <c r="F137" s="395">
        <v>90</v>
      </c>
      <c r="G137" s="408"/>
      <c r="H137" s="396"/>
      <c r="I137" s="397"/>
      <c r="J137" s="397"/>
      <c r="K137" s="396">
        <v>2</v>
      </c>
      <c r="L137" s="396"/>
      <c r="M137" s="88"/>
      <c r="N137" s="88"/>
      <c r="O137" s="88"/>
      <c r="P137" s="88"/>
      <c r="Q137" s="88"/>
      <c r="R137" s="97"/>
      <c r="S137" s="93"/>
      <c r="T137" s="93"/>
      <c r="U137" s="87"/>
    </row>
    <row r="138" spans="2:21" ht="15.75">
      <c r="B138" s="1301"/>
      <c r="C138" s="409"/>
      <c r="D138" s="398" t="s">
        <v>10</v>
      </c>
      <c r="E138" s="407">
        <v>1952</v>
      </c>
      <c r="F138" s="395">
        <v>100</v>
      </c>
      <c r="G138" s="556" t="s">
        <v>344</v>
      </c>
      <c r="H138" s="396"/>
      <c r="I138" s="397"/>
      <c r="J138" s="397"/>
      <c r="K138" s="396">
        <v>1</v>
      </c>
      <c r="L138" s="396"/>
      <c r="M138" s="88"/>
      <c r="N138" s="88"/>
      <c r="O138" s="88"/>
      <c r="P138" s="88"/>
      <c r="Q138" s="88"/>
      <c r="R138" s="97"/>
      <c r="S138" s="93"/>
      <c r="T138" s="93"/>
      <c r="U138" s="93"/>
    </row>
    <row r="139" spans="2:21" ht="15.75">
      <c r="B139" s="1301"/>
      <c r="C139" s="409"/>
      <c r="D139" s="398" t="s">
        <v>13</v>
      </c>
      <c r="E139" s="407">
        <v>1970</v>
      </c>
      <c r="F139" s="395">
        <v>100</v>
      </c>
      <c r="G139" s="408"/>
      <c r="H139" s="396"/>
      <c r="I139" s="397"/>
      <c r="J139" s="397"/>
      <c r="K139" s="396">
        <v>2</v>
      </c>
      <c r="L139" s="396"/>
      <c r="M139" s="88"/>
      <c r="N139" s="88"/>
      <c r="O139" s="88"/>
      <c r="P139" s="88"/>
      <c r="Q139" s="88"/>
      <c r="R139" s="97"/>
      <c r="S139" s="93"/>
      <c r="T139" s="93"/>
      <c r="U139" s="93"/>
    </row>
    <row r="140" spans="2:21" ht="15.75">
      <c r="B140" s="1301"/>
      <c r="C140" s="409"/>
      <c r="D140" s="398" t="s">
        <v>218</v>
      </c>
      <c r="E140" s="407">
        <v>1952</v>
      </c>
      <c r="F140" s="395">
        <v>100</v>
      </c>
      <c r="G140" s="408"/>
      <c r="H140" s="396"/>
      <c r="I140" s="397"/>
      <c r="J140" s="397"/>
      <c r="K140" s="396"/>
      <c r="L140" s="396"/>
      <c r="M140" s="88"/>
      <c r="N140" s="88"/>
      <c r="O140" s="88"/>
      <c r="P140" s="88"/>
      <c r="Q140" s="88"/>
      <c r="R140" s="97"/>
      <c r="S140" s="93"/>
      <c r="T140" s="93"/>
      <c r="U140" s="93"/>
    </row>
    <row r="141" spans="2:21" ht="15.75">
      <c r="B141" s="1301"/>
      <c r="C141" s="409"/>
      <c r="D141" s="398" t="s">
        <v>14</v>
      </c>
      <c r="E141" s="407"/>
      <c r="F141" s="395"/>
      <c r="G141" s="408" t="s">
        <v>486</v>
      </c>
      <c r="H141" s="396"/>
      <c r="I141" s="397"/>
      <c r="J141" s="397"/>
      <c r="K141" s="396"/>
      <c r="L141" s="396"/>
      <c r="M141" s="88"/>
      <c r="N141" s="88"/>
      <c r="O141" s="88"/>
      <c r="P141" s="88"/>
      <c r="Q141" s="88"/>
      <c r="R141" s="97"/>
      <c r="S141" s="93"/>
      <c r="T141" s="93"/>
      <c r="U141" s="93"/>
    </row>
    <row r="142" spans="2:21" ht="15.75">
      <c r="B142" s="1301"/>
      <c r="C142" s="409"/>
      <c r="D142" s="398" t="s">
        <v>339</v>
      </c>
      <c r="E142" s="407"/>
      <c r="F142" s="395"/>
      <c r="G142" s="408" t="s">
        <v>343</v>
      </c>
      <c r="H142" s="396"/>
      <c r="I142" s="397"/>
      <c r="J142" s="397"/>
      <c r="K142" s="396"/>
      <c r="L142" s="396"/>
      <c r="M142" s="88"/>
      <c r="N142" s="88"/>
      <c r="O142" s="88"/>
      <c r="P142" s="88"/>
      <c r="Q142" s="88"/>
      <c r="R142" s="97"/>
      <c r="S142" s="93"/>
      <c r="T142" s="93"/>
      <c r="U142" s="93"/>
    </row>
    <row r="143" spans="2:21" ht="15.75">
      <c r="B143" s="1301"/>
      <c r="C143" s="409" t="s">
        <v>269</v>
      </c>
      <c r="D143" s="398"/>
      <c r="E143" s="407"/>
      <c r="F143" s="395"/>
      <c r="G143" s="408"/>
      <c r="H143" s="396"/>
      <c r="I143" s="397"/>
      <c r="J143" s="397"/>
      <c r="K143" s="396"/>
      <c r="L143" s="396"/>
      <c r="M143" s="88"/>
      <c r="N143" s="88"/>
      <c r="O143" s="88"/>
      <c r="P143" s="88"/>
      <c r="Q143" s="88"/>
      <c r="R143" s="97"/>
      <c r="S143" s="93"/>
      <c r="T143" s="93"/>
      <c r="U143" s="93"/>
    </row>
    <row r="144" spans="2:21" ht="15.75">
      <c r="B144" s="1301"/>
      <c r="C144" s="409"/>
      <c r="D144" s="398" t="s">
        <v>14</v>
      </c>
      <c r="E144" s="407">
        <v>1953</v>
      </c>
      <c r="F144" s="395"/>
      <c r="G144" s="408" t="s">
        <v>487</v>
      </c>
      <c r="H144" s="396"/>
      <c r="I144" s="397"/>
      <c r="J144" s="397"/>
      <c r="K144" s="396"/>
      <c r="L144" s="396"/>
      <c r="M144" s="88"/>
      <c r="N144" s="88"/>
      <c r="O144" s="88"/>
      <c r="P144" s="88"/>
      <c r="Q144" s="88"/>
      <c r="R144" s="97"/>
      <c r="S144" s="93"/>
      <c r="T144" s="93"/>
      <c r="U144" s="93"/>
    </row>
    <row r="145" spans="1:44" ht="15.75">
      <c r="B145" s="1301"/>
      <c r="C145" s="409"/>
      <c r="D145" s="398" t="s">
        <v>438</v>
      </c>
      <c r="E145" s="407">
        <v>1950</v>
      </c>
      <c r="F145" s="395">
        <v>100</v>
      </c>
      <c r="G145" s="408" t="s">
        <v>341</v>
      </c>
      <c r="H145" s="396"/>
      <c r="I145" s="397"/>
      <c r="J145" s="397"/>
      <c r="K145" s="396">
        <v>2</v>
      </c>
      <c r="L145" s="396"/>
      <c r="M145" s="88"/>
      <c r="N145" s="88"/>
      <c r="O145" s="88"/>
      <c r="P145" s="88"/>
      <c r="Q145" s="88"/>
      <c r="R145" s="97"/>
      <c r="S145" s="93"/>
      <c r="T145" s="93"/>
      <c r="U145" s="93"/>
    </row>
    <row r="146" spans="1:44" ht="15.75">
      <c r="B146" s="1301"/>
      <c r="C146" s="409" t="s">
        <v>270</v>
      </c>
      <c r="D146" s="398"/>
      <c r="E146" s="407"/>
      <c r="F146" s="395"/>
      <c r="G146" s="408"/>
      <c r="H146" s="396"/>
      <c r="I146" s="397"/>
      <c r="J146" s="397"/>
      <c r="K146" s="396"/>
      <c r="L146" s="396"/>
      <c r="M146" s="88"/>
      <c r="N146" s="88"/>
      <c r="O146" s="88"/>
      <c r="P146" s="88"/>
      <c r="Q146" s="88"/>
      <c r="R146" s="88"/>
      <c r="S146" s="88"/>
      <c r="T146" s="88"/>
      <c r="U146" s="93"/>
    </row>
    <row r="147" spans="1:44" ht="15.75">
      <c r="B147" s="1301"/>
      <c r="C147" s="409"/>
      <c r="D147" s="398" t="s">
        <v>489</v>
      </c>
      <c r="E147" s="407"/>
      <c r="F147" s="395"/>
      <c r="G147" s="408"/>
      <c r="H147" s="396"/>
      <c r="I147" s="397"/>
      <c r="J147" s="397"/>
      <c r="K147" s="396">
        <v>1</v>
      </c>
      <c r="L147" s="396"/>
      <c r="M147" s="88"/>
      <c r="N147" s="88"/>
      <c r="O147" s="88"/>
      <c r="P147" s="88"/>
      <c r="Q147" s="88"/>
      <c r="R147" s="88"/>
      <c r="S147" s="88"/>
      <c r="T147" s="88"/>
      <c r="U147" s="93"/>
    </row>
    <row r="148" spans="1:44" ht="15.75">
      <c r="B148" s="1302"/>
      <c r="C148" s="409"/>
      <c r="D148" s="398" t="s">
        <v>14</v>
      </c>
      <c r="E148" s="407">
        <v>1960</v>
      </c>
      <c r="F148" s="395">
        <v>100</v>
      </c>
      <c r="G148" s="486" t="s">
        <v>488</v>
      </c>
      <c r="H148" s="396"/>
      <c r="I148" s="397"/>
      <c r="J148" s="397"/>
      <c r="K148" s="396"/>
      <c r="L148" s="396"/>
      <c r="M148" s="88"/>
      <c r="N148" s="88"/>
      <c r="O148" s="88"/>
      <c r="P148" s="88"/>
      <c r="Q148" s="88"/>
      <c r="R148" s="88"/>
      <c r="S148" s="88"/>
      <c r="T148" s="88"/>
      <c r="U148" s="93"/>
    </row>
    <row r="149" spans="1:44" ht="15.75">
      <c r="B149" s="1292" t="s">
        <v>271</v>
      </c>
      <c r="C149" s="184"/>
      <c r="D149" s="402"/>
      <c r="E149" s="407"/>
      <c r="F149" s="395"/>
      <c r="G149" s="408"/>
      <c r="H149" s="396"/>
      <c r="I149" s="397"/>
      <c r="J149" s="397"/>
      <c r="K149" s="396"/>
      <c r="L149" s="396"/>
      <c r="M149" s="88"/>
      <c r="N149" s="88"/>
      <c r="O149" s="88"/>
      <c r="P149" s="88"/>
      <c r="Q149" s="88"/>
      <c r="R149" s="88"/>
      <c r="S149" s="88"/>
      <c r="T149" s="88"/>
      <c r="U149" s="93"/>
    </row>
    <row r="150" spans="1:44" ht="15.75">
      <c r="B150" s="1293"/>
      <c r="C150" s="409" t="s">
        <v>272</v>
      </c>
      <c r="D150" s="398"/>
      <c r="E150" s="36"/>
      <c r="F150" s="37"/>
      <c r="G150" s="38"/>
      <c r="H150" s="38"/>
      <c r="I150" s="39"/>
      <c r="J150" s="39"/>
      <c r="K150" s="38"/>
      <c r="L150" s="38"/>
      <c r="M150" s="88"/>
      <c r="N150" s="88"/>
      <c r="O150" s="88"/>
      <c r="P150" s="88"/>
      <c r="Q150" s="88"/>
      <c r="R150" s="88"/>
      <c r="S150" s="88"/>
      <c r="T150" s="88"/>
      <c r="U150" s="93"/>
    </row>
    <row r="151" spans="1:44" ht="15.75">
      <c r="B151" s="1293"/>
      <c r="C151" s="102"/>
      <c r="D151" s="398" t="s">
        <v>212</v>
      </c>
      <c r="E151" s="394">
        <v>1974</v>
      </c>
      <c r="F151" s="37"/>
      <c r="G151" s="121" t="s">
        <v>423</v>
      </c>
      <c r="H151" s="38"/>
      <c r="I151" s="39"/>
      <c r="J151" s="39"/>
      <c r="K151" s="396">
        <v>8</v>
      </c>
      <c r="L151" s="38"/>
      <c r="M151" s="88"/>
      <c r="N151" s="88"/>
      <c r="O151" s="88"/>
      <c r="P151" s="88"/>
      <c r="Q151" s="88"/>
      <c r="R151" s="88"/>
      <c r="S151" s="88"/>
      <c r="T151" s="88"/>
      <c r="U151" s="93"/>
    </row>
    <row r="152" spans="1:44" ht="15.75">
      <c r="B152" s="1293"/>
      <c r="C152" s="102"/>
      <c r="D152" s="398" t="s">
        <v>11</v>
      </c>
      <c r="E152" s="394">
        <v>1983</v>
      </c>
      <c r="F152" s="395">
        <v>42</v>
      </c>
      <c r="G152" s="411" t="s">
        <v>504</v>
      </c>
      <c r="H152" s="396">
        <v>31</v>
      </c>
      <c r="I152" s="397" t="s">
        <v>501</v>
      </c>
      <c r="J152" s="39"/>
      <c r="K152" s="396">
        <v>11</v>
      </c>
      <c r="L152" s="38"/>
      <c r="M152" s="88"/>
      <c r="N152" s="88"/>
      <c r="O152" s="88"/>
      <c r="P152" s="88"/>
      <c r="Q152" s="88"/>
      <c r="R152" s="88"/>
      <c r="S152" s="88"/>
      <c r="T152" s="88"/>
      <c r="U152" s="93"/>
    </row>
    <row r="153" spans="1:44" ht="15.75">
      <c r="B153" s="1293"/>
      <c r="C153" s="102"/>
      <c r="D153" s="571" t="s">
        <v>167</v>
      </c>
      <c r="E153" s="394">
        <v>1971</v>
      </c>
      <c r="F153" s="395">
        <v>60</v>
      </c>
      <c r="G153" s="411" t="s">
        <v>505</v>
      </c>
      <c r="H153" s="396">
        <v>55</v>
      </c>
      <c r="I153" s="397">
        <v>162</v>
      </c>
      <c r="J153" s="397" t="s">
        <v>502</v>
      </c>
      <c r="K153" s="396">
        <v>23</v>
      </c>
      <c r="L153" s="38"/>
      <c r="M153" s="88"/>
      <c r="N153" s="88"/>
      <c r="O153" s="88"/>
      <c r="P153" s="88"/>
      <c r="Q153" s="88"/>
      <c r="R153" s="88"/>
      <c r="S153" s="88"/>
      <c r="T153" s="88"/>
      <c r="U153" s="93"/>
    </row>
    <row r="154" spans="1:44" ht="15.75">
      <c r="B154" s="1293"/>
      <c r="C154" s="102"/>
      <c r="D154" s="398" t="s">
        <v>24</v>
      </c>
      <c r="E154" s="394">
        <v>1970</v>
      </c>
      <c r="F154" s="37"/>
      <c r="G154" s="411" t="s">
        <v>490</v>
      </c>
      <c r="I154" s="39"/>
      <c r="J154" s="39"/>
      <c r="K154" s="396"/>
      <c r="L154" s="38"/>
      <c r="M154" s="396" t="s">
        <v>437</v>
      </c>
      <c r="N154" s="88"/>
      <c r="O154" s="88"/>
      <c r="P154" s="88"/>
      <c r="Q154" s="88"/>
      <c r="R154" s="88"/>
      <c r="S154" s="88"/>
      <c r="T154" s="88"/>
      <c r="U154" s="93"/>
    </row>
    <row r="155" spans="1:44" ht="15.75">
      <c r="B155" s="1293"/>
      <c r="C155" s="102"/>
      <c r="D155" s="398" t="s">
        <v>215</v>
      </c>
      <c r="E155" s="394">
        <v>1959</v>
      </c>
      <c r="F155" s="37"/>
      <c r="G155" s="396">
        <v>200</v>
      </c>
      <c r="H155" s="396">
        <v>60</v>
      </c>
      <c r="I155" s="39"/>
      <c r="J155" s="39"/>
      <c r="K155" s="396">
        <v>2</v>
      </c>
      <c r="L155" s="38"/>
      <c r="M155" s="88"/>
      <c r="N155" s="88"/>
      <c r="O155" s="88"/>
      <c r="P155" s="88"/>
      <c r="Q155" s="88"/>
      <c r="R155" s="88"/>
      <c r="S155" s="88"/>
      <c r="T155" s="88"/>
      <c r="U155" s="93"/>
    </row>
    <row r="156" spans="1:44" ht="15.75">
      <c r="B156" s="1293"/>
      <c r="C156" s="102"/>
      <c r="D156" s="398" t="s">
        <v>16</v>
      </c>
      <c r="E156" s="36">
        <v>1983</v>
      </c>
      <c r="F156" s="37">
        <v>60</v>
      </c>
      <c r="G156" s="38"/>
      <c r="H156" s="38"/>
      <c r="I156" s="39"/>
      <c r="J156" s="39"/>
      <c r="K156" s="396">
        <v>3</v>
      </c>
      <c r="L156" s="38"/>
      <c r="M156" s="88"/>
      <c r="N156" s="88"/>
      <c r="O156" s="88"/>
      <c r="P156" s="88"/>
      <c r="Q156" s="88"/>
      <c r="R156" s="88"/>
      <c r="S156" s="88"/>
      <c r="T156" s="88"/>
      <c r="U156" s="93"/>
    </row>
    <row r="157" spans="1:44" ht="15.75">
      <c r="B157" s="1293"/>
      <c r="C157" s="102"/>
      <c r="D157" s="398" t="s">
        <v>10</v>
      </c>
      <c r="E157" s="36"/>
      <c r="F157" s="37"/>
      <c r="G157" s="411" t="s">
        <v>435</v>
      </c>
      <c r="H157" s="38"/>
      <c r="I157" s="39"/>
      <c r="J157" s="39"/>
      <c r="K157" s="396"/>
      <c r="L157" s="38"/>
      <c r="M157" s="88"/>
      <c r="N157" s="88"/>
      <c r="O157" s="88"/>
      <c r="P157" s="88"/>
      <c r="Q157" s="88"/>
      <c r="R157" s="88"/>
      <c r="S157" s="88"/>
      <c r="T157" s="88"/>
      <c r="U157" s="93"/>
    </row>
    <row r="158" spans="1:44" ht="15.75">
      <c r="B158" s="1293"/>
      <c r="C158" s="102"/>
      <c r="D158" s="398" t="s">
        <v>13</v>
      </c>
      <c r="E158" s="36"/>
      <c r="F158" s="37"/>
      <c r="G158" s="38"/>
      <c r="H158" s="38"/>
      <c r="I158" s="39"/>
      <c r="J158" s="39"/>
      <c r="K158" s="396">
        <v>3</v>
      </c>
      <c r="L158" s="38"/>
      <c r="M158" s="88"/>
      <c r="N158" s="88"/>
      <c r="O158" s="88"/>
      <c r="P158" s="88"/>
      <c r="Q158" s="88"/>
      <c r="R158" s="88"/>
      <c r="S158" s="88"/>
      <c r="T158" s="88"/>
      <c r="U158" s="93"/>
    </row>
    <row r="159" spans="1:44" ht="15.75">
      <c r="B159" s="1293"/>
      <c r="C159" s="102"/>
      <c r="D159" s="398" t="s">
        <v>218</v>
      </c>
      <c r="E159" s="36"/>
      <c r="F159" s="37"/>
      <c r="G159" s="38"/>
      <c r="H159" s="38"/>
      <c r="I159" s="39"/>
      <c r="J159" s="39"/>
      <c r="K159" s="396"/>
      <c r="L159" s="38"/>
      <c r="M159" s="88"/>
      <c r="N159" s="88"/>
      <c r="O159" s="88"/>
      <c r="P159" s="88"/>
      <c r="Q159" s="88"/>
      <c r="R159" s="88"/>
      <c r="S159" s="88"/>
      <c r="T159" s="88"/>
      <c r="U159" s="93"/>
    </row>
    <row r="160" spans="1:44" s="486" customFormat="1" ht="15.75">
      <c r="A160" s="54"/>
      <c r="B160" s="1293"/>
      <c r="C160" s="102"/>
      <c r="D160" s="398" t="s">
        <v>363</v>
      </c>
      <c r="E160" s="394"/>
      <c r="F160" s="395"/>
      <c r="G160" s="396"/>
      <c r="H160" s="396"/>
      <c r="I160" s="397"/>
      <c r="J160" s="397"/>
      <c r="K160" s="396">
        <v>4</v>
      </c>
      <c r="L160" s="396"/>
      <c r="M160" s="482"/>
      <c r="N160" s="482"/>
      <c r="O160" s="482"/>
      <c r="P160" s="482"/>
      <c r="Q160" s="482"/>
      <c r="R160" s="482"/>
      <c r="S160" s="482"/>
      <c r="T160" s="482"/>
      <c r="U160" s="48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</row>
    <row r="161" spans="2:21" ht="15.75">
      <c r="B161" s="1293"/>
      <c r="C161" s="102"/>
      <c r="D161" s="398" t="s">
        <v>422</v>
      </c>
      <c r="E161" s="36"/>
      <c r="F161" s="37"/>
      <c r="G161" s="38"/>
      <c r="H161" s="38"/>
      <c r="I161" s="39"/>
      <c r="J161" s="39"/>
      <c r="K161" s="396"/>
      <c r="L161" s="38"/>
      <c r="M161" s="88"/>
      <c r="N161" s="88"/>
      <c r="O161" s="88"/>
      <c r="P161" s="88"/>
      <c r="Q161" s="88"/>
      <c r="R161" s="88"/>
      <c r="S161" s="88"/>
      <c r="T161" s="88"/>
      <c r="U161" s="93"/>
    </row>
    <row r="162" spans="2:21" ht="15.75">
      <c r="B162" s="1293"/>
      <c r="C162" s="102"/>
      <c r="D162" s="398" t="s">
        <v>492</v>
      </c>
      <c r="E162" s="36"/>
      <c r="F162" s="37"/>
      <c r="G162" s="490" t="s">
        <v>491</v>
      </c>
      <c r="H162" s="38"/>
      <c r="I162" s="39"/>
      <c r="J162" s="39"/>
      <c r="K162" s="396"/>
      <c r="L162" s="38"/>
      <c r="M162" s="88"/>
      <c r="N162" s="88"/>
      <c r="O162" s="88"/>
      <c r="P162" s="88"/>
      <c r="Q162" s="88"/>
      <c r="R162" s="88"/>
      <c r="S162" s="88"/>
      <c r="T162" s="88"/>
      <c r="U162" s="93"/>
    </row>
    <row r="163" spans="2:21" ht="15.75">
      <c r="B163" s="1293"/>
      <c r="C163" s="409" t="s">
        <v>273</v>
      </c>
      <c r="D163" s="398"/>
      <c r="E163" s="36"/>
      <c r="F163" s="37"/>
      <c r="G163" s="38"/>
      <c r="H163" s="38"/>
      <c r="I163" s="39"/>
      <c r="J163" s="39"/>
      <c r="K163" s="396"/>
      <c r="L163" s="38"/>
      <c r="M163" s="88"/>
      <c r="N163" s="88"/>
      <c r="O163" s="88"/>
      <c r="P163" s="88"/>
      <c r="Q163" s="88"/>
      <c r="R163" s="88"/>
      <c r="S163" s="88"/>
      <c r="T163" s="88"/>
      <c r="U163" s="93"/>
    </row>
    <row r="164" spans="2:21" ht="15.75">
      <c r="B164" s="1293"/>
      <c r="C164" s="102"/>
      <c r="D164" s="398" t="s">
        <v>171</v>
      </c>
      <c r="E164" s="36"/>
      <c r="F164" s="37"/>
      <c r="G164" s="38"/>
      <c r="H164" s="38"/>
      <c r="I164" s="39"/>
      <c r="J164" s="39"/>
      <c r="K164" s="396"/>
      <c r="L164" s="38"/>
      <c r="M164" s="88"/>
      <c r="N164" s="88"/>
      <c r="O164" s="88"/>
      <c r="P164" s="88"/>
      <c r="Q164" s="88"/>
      <c r="R164" s="88"/>
      <c r="S164" s="88"/>
      <c r="T164" s="88"/>
      <c r="U164" s="93"/>
    </row>
    <row r="165" spans="2:21" ht="15.75">
      <c r="B165" s="1293"/>
      <c r="C165" s="102"/>
      <c r="D165" s="398" t="s">
        <v>438</v>
      </c>
      <c r="E165" s="394"/>
      <c r="F165" s="395"/>
      <c r="G165" s="396"/>
      <c r="H165" s="396" t="s">
        <v>444</v>
      </c>
      <c r="I165" s="39"/>
      <c r="J165" s="39"/>
      <c r="K165" s="396">
        <v>2</v>
      </c>
      <c r="L165" s="38"/>
      <c r="M165" s="88"/>
      <c r="N165" s="88"/>
      <c r="O165" s="88"/>
      <c r="P165" s="88"/>
      <c r="Q165" s="88"/>
      <c r="R165" s="88"/>
      <c r="S165" s="88"/>
      <c r="T165" s="88"/>
      <c r="U165" s="93"/>
    </row>
    <row r="166" spans="2:21" ht="15.75">
      <c r="B166" s="1293"/>
      <c r="C166" s="102"/>
      <c r="D166" s="398" t="s">
        <v>339</v>
      </c>
      <c r="E166" s="394"/>
      <c r="F166" s="395"/>
      <c r="G166" s="396" t="s">
        <v>445</v>
      </c>
      <c r="H166" s="396"/>
      <c r="I166" s="39"/>
      <c r="J166" s="39"/>
      <c r="K166" s="396"/>
      <c r="L166" s="38"/>
      <c r="M166" s="88"/>
      <c r="N166" s="88"/>
      <c r="O166" s="88"/>
      <c r="P166" s="88"/>
      <c r="Q166" s="88"/>
      <c r="R166" s="88"/>
      <c r="S166" s="88"/>
      <c r="T166" s="88"/>
      <c r="U166" s="93"/>
    </row>
    <row r="167" spans="2:21" ht="15.75">
      <c r="B167" s="1293"/>
      <c r="C167" s="409" t="s">
        <v>274</v>
      </c>
      <c r="D167" s="398"/>
      <c r="E167" s="36"/>
      <c r="F167" s="37"/>
      <c r="G167" s="38"/>
      <c r="H167" s="38"/>
      <c r="I167" s="39"/>
      <c r="J167" s="39"/>
      <c r="K167" s="396"/>
      <c r="L167" s="38"/>
      <c r="M167" s="88"/>
      <c r="N167" s="88"/>
      <c r="O167" s="88"/>
      <c r="P167" s="88"/>
      <c r="Q167" s="88"/>
      <c r="R167" s="88"/>
      <c r="S167" s="88"/>
      <c r="T167" s="88"/>
      <c r="U167" s="93"/>
    </row>
    <row r="168" spans="2:21" ht="15.75">
      <c r="B168" s="1293"/>
      <c r="C168" s="102"/>
      <c r="D168" s="398" t="s">
        <v>438</v>
      </c>
      <c r="E168" s="36"/>
      <c r="F168" s="37"/>
      <c r="G168" s="38"/>
      <c r="H168" s="557" t="s">
        <v>443</v>
      </c>
      <c r="I168" s="38"/>
      <c r="J168" s="38"/>
      <c r="K168" s="396">
        <v>2</v>
      </c>
      <c r="L168" s="38"/>
      <c r="M168" s="88"/>
      <c r="N168" s="88"/>
      <c r="O168" s="88"/>
      <c r="P168" s="88"/>
      <c r="Q168" s="88"/>
      <c r="R168" s="88"/>
      <c r="S168" s="88"/>
      <c r="T168" s="88"/>
      <c r="U168" s="93"/>
    </row>
    <row r="169" spans="2:21" ht="15.75">
      <c r="B169" s="1293"/>
      <c r="C169" s="102"/>
      <c r="D169" s="398" t="s">
        <v>11</v>
      </c>
      <c r="E169" s="394">
        <v>1968</v>
      </c>
      <c r="F169" s="395">
        <v>65</v>
      </c>
      <c r="G169" s="396">
        <v>25</v>
      </c>
      <c r="H169" s="396">
        <v>30</v>
      </c>
      <c r="I169" s="397" t="s">
        <v>501</v>
      </c>
      <c r="J169" s="397"/>
      <c r="K169" s="396">
        <v>13</v>
      </c>
      <c r="L169" s="38"/>
      <c r="M169" s="88"/>
      <c r="N169" s="88"/>
      <c r="O169" s="88"/>
      <c r="P169" s="88"/>
      <c r="Q169" s="88"/>
      <c r="R169" s="88"/>
      <c r="S169" s="88"/>
      <c r="T169" s="88"/>
      <c r="U169" s="93"/>
    </row>
    <row r="170" spans="2:21" ht="15.75">
      <c r="B170" s="1293"/>
      <c r="C170" s="102"/>
      <c r="D170" s="398" t="s">
        <v>218</v>
      </c>
      <c r="E170" s="36"/>
      <c r="F170" s="37"/>
      <c r="G170" s="38"/>
      <c r="H170" s="38"/>
      <c r="I170" s="39"/>
      <c r="J170" s="39"/>
      <c r="K170" s="396"/>
      <c r="L170" s="38"/>
      <c r="M170" s="88"/>
      <c r="N170" s="88"/>
      <c r="O170" s="88"/>
      <c r="P170" s="88"/>
      <c r="Q170" s="88"/>
      <c r="R170" s="88"/>
      <c r="S170" s="88"/>
      <c r="T170" s="88"/>
      <c r="U170" s="93"/>
    </row>
    <row r="171" spans="2:21" ht="15.75">
      <c r="B171" s="1293"/>
      <c r="C171" s="102"/>
      <c r="D171" s="398" t="s">
        <v>9</v>
      </c>
      <c r="E171" s="394">
        <v>1968</v>
      </c>
      <c r="F171" s="395">
        <v>65</v>
      </c>
      <c r="G171" s="38"/>
      <c r="H171" s="38"/>
      <c r="I171" s="39"/>
      <c r="J171" s="39"/>
      <c r="K171" s="396"/>
      <c r="L171" s="38"/>
      <c r="M171" s="88"/>
      <c r="N171" s="88"/>
      <c r="O171" s="88"/>
      <c r="P171" s="88"/>
      <c r="Q171" s="88"/>
      <c r="R171" s="88"/>
      <c r="S171" s="88"/>
      <c r="T171" s="88"/>
      <c r="U171" s="93"/>
    </row>
    <row r="172" spans="2:21" ht="15.75">
      <c r="B172" s="1293"/>
      <c r="C172" s="102"/>
      <c r="D172" s="398" t="s">
        <v>351</v>
      </c>
      <c r="E172" s="394">
        <v>1958</v>
      </c>
      <c r="F172" s="395">
        <v>80</v>
      </c>
      <c r="G172" s="396">
        <v>200</v>
      </c>
      <c r="H172" s="396">
        <v>77</v>
      </c>
      <c r="I172" s="397">
        <v>50</v>
      </c>
      <c r="J172" s="397" t="s">
        <v>445</v>
      </c>
      <c r="K172" s="396">
        <v>24</v>
      </c>
      <c r="L172" s="38"/>
      <c r="M172" s="88"/>
      <c r="N172" s="88"/>
      <c r="O172" s="88"/>
      <c r="P172" s="88"/>
      <c r="Q172" s="88"/>
      <c r="R172" s="88"/>
      <c r="S172" s="88"/>
      <c r="T172" s="88"/>
      <c r="U172" s="93"/>
    </row>
    <row r="173" spans="2:21" ht="15.75">
      <c r="B173" s="1293"/>
      <c r="C173" s="102"/>
      <c r="D173" s="398" t="s">
        <v>18</v>
      </c>
      <c r="F173" s="37"/>
      <c r="G173" s="394" t="s">
        <v>440</v>
      </c>
      <c r="H173" s="38"/>
      <c r="I173" s="39"/>
      <c r="J173" s="39"/>
      <c r="K173" s="396"/>
      <c r="L173" s="38"/>
      <c r="M173" s="88"/>
      <c r="N173" s="88"/>
      <c r="O173" s="88"/>
      <c r="P173" s="88"/>
      <c r="Q173" s="88"/>
      <c r="R173" s="88"/>
      <c r="S173" s="88"/>
      <c r="T173" s="88"/>
      <c r="U173" s="93"/>
    </row>
    <row r="174" spans="2:21" ht="15.75">
      <c r="B174" s="1293"/>
      <c r="C174" s="102"/>
      <c r="D174" s="398" t="s">
        <v>10</v>
      </c>
      <c r="E174" s="394">
        <v>1955</v>
      </c>
      <c r="F174" s="37"/>
      <c r="G174" s="411" t="s">
        <v>439</v>
      </c>
      <c r="H174" s="38"/>
      <c r="I174" s="39"/>
      <c r="J174" s="39"/>
      <c r="K174" s="396"/>
      <c r="L174" s="38"/>
      <c r="M174" s="88"/>
      <c r="N174" s="88"/>
      <c r="O174" s="88"/>
      <c r="P174" s="88"/>
      <c r="Q174" s="88"/>
      <c r="R174" s="88"/>
      <c r="S174" s="88"/>
      <c r="T174" s="88"/>
      <c r="U174" s="93"/>
    </row>
    <row r="175" spans="2:21" ht="25.5">
      <c r="B175" s="1293"/>
      <c r="C175" s="102"/>
      <c r="D175" s="398" t="s">
        <v>348</v>
      </c>
      <c r="E175" s="394"/>
      <c r="F175" s="37"/>
      <c r="G175" s="411" t="s">
        <v>441</v>
      </c>
      <c r="H175" s="38"/>
      <c r="I175" s="39"/>
      <c r="J175" s="39"/>
      <c r="K175" s="396"/>
      <c r="L175" s="38"/>
      <c r="M175" s="88"/>
      <c r="N175" s="88"/>
      <c r="O175" s="88"/>
      <c r="P175" s="88"/>
      <c r="Q175" s="88"/>
      <c r="R175" s="88"/>
      <c r="S175" s="88"/>
      <c r="T175" s="88"/>
      <c r="U175" s="93"/>
    </row>
    <row r="176" spans="2:21" ht="15.75">
      <c r="B176" s="1293"/>
      <c r="C176" s="102"/>
      <c r="D176" s="398" t="s">
        <v>16</v>
      </c>
      <c r="E176" s="36"/>
      <c r="F176" s="37"/>
      <c r="G176" s="38"/>
      <c r="H176" s="38"/>
      <c r="I176" s="39"/>
      <c r="J176" s="39"/>
      <c r="K176" s="396">
        <v>2</v>
      </c>
      <c r="L176" s="38"/>
      <c r="M176" s="88"/>
      <c r="N176" s="88"/>
      <c r="O176" s="88"/>
      <c r="P176" s="88"/>
      <c r="Q176" s="88"/>
      <c r="R176" s="88"/>
      <c r="S176" s="88"/>
      <c r="T176" s="88"/>
      <c r="U176" s="93"/>
    </row>
    <row r="177" spans="2:21" ht="15.75">
      <c r="B177" s="1293"/>
      <c r="C177" s="102"/>
      <c r="D177" s="398" t="s">
        <v>352</v>
      </c>
      <c r="E177" s="36"/>
      <c r="F177" s="37"/>
      <c r="G177" s="38"/>
      <c r="H177" s="38"/>
      <c r="I177" s="39"/>
      <c r="J177" s="39"/>
      <c r="K177" s="396"/>
      <c r="L177" s="38"/>
      <c r="M177" s="88"/>
      <c r="N177" s="88"/>
      <c r="O177" s="88"/>
      <c r="P177" s="88"/>
      <c r="Q177" s="88"/>
      <c r="R177" s="88"/>
      <c r="S177" s="88"/>
      <c r="T177" s="88"/>
      <c r="U177" s="93"/>
    </row>
    <row r="178" spans="2:21" ht="15.75">
      <c r="B178" s="1293"/>
      <c r="C178" s="102"/>
      <c r="D178" s="398" t="s">
        <v>339</v>
      </c>
      <c r="E178" s="36"/>
      <c r="F178" s="37"/>
      <c r="G178" s="396" t="s">
        <v>442</v>
      </c>
      <c r="H178" s="38"/>
      <c r="I178" s="39"/>
      <c r="J178" s="39"/>
      <c r="K178" s="396"/>
      <c r="L178" s="38"/>
      <c r="M178" s="88"/>
      <c r="N178" s="88"/>
      <c r="O178" s="88"/>
      <c r="P178" s="88"/>
      <c r="Q178" s="88"/>
      <c r="R178" s="88"/>
      <c r="S178" s="88"/>
      <c r="T178" s="88"/>
      <c r="U178" s="93"/>
    </row>
    <row r="179" spans="2:21" ht="15.75">
      <c r="B179" s="1293"/>
      <c r="C179" s="409" t="s">
        <v>275</v>
      </c>
      <c r="D179" s="398"/>
      <c r="E179" s="36"/>
      <c r="F179" s="37"/>
      <c r="G179" s="38"/>
      <c r="H179" s="38"/>
      <c r="I179" s="39"/>
      <c r="J179" s="39"/>
      <c r="K179" s="396"/>
      <c r="L179" s="38"/>
      <c r="M179" s="88"/>
      <c r="N179" s="88"/>
      <c r="O179" s="88"/>
      <c r="P179" s="88"/>
      <c r="Q179" s="88"/>
      <c r="R179" s="88"/>
      <c r="S179" s="88"/>
      <c r="T179" s="88"/>
      <c r="U179" s="93"/>
    </row>
    <row r="180" spans="2:21" ht="15.75">
      <c r="B180" s="1293"/>
      <c r="C180" s="102"/>
      <c r="D180" s="398" t="s">
        <v>438</v>
      </c>
      <c r="E180" s="394">
        <v>1974</v>
      </c>
      <c r="F180" s="395"/>
      <c r="G180" s="396">
        <v>43</v>
      </c>
      <c r="H180" s="38"/>
      <c r="I180" s="39"/>
      <c r="J180" s="39"/>
      <c r="K180" s="396">
        <v>2</v>
      </c>
      <c r="L180" s="38"/>
      <c r="M180" s="88"/>
      <c r="N180" s="88"/>
      <c r="O180" s="88"/>
      <c r="P180" s="88"/>
      <c r="Q180" s="88"/>
      <c r="R180" s="88"/>
      <c r="S180" s="88"/>
      <c r="T180" s="88"/>
      <c r="U180" s="93"/>
    </row>
    <row r="181" spans="2:21" ht="15.75">
      <c r="B181" s="1293"/>
      <c r="C181" s="102"/>
      <c r="D181" s="398" t="s">
        <v>167</v>
      </c>
      <c r="E181" s="394">
        <v>1981</v>
      </c>
      <c r="F181" s="395">
        <v>45</v>
      </c>
      <c r="G181" s="396">
        <v>290</v>
      </c>
      <c r="H181" s="396">
        <v>34</v>
      </c>
      <c r="I181" s="397">
        <v>162</v>
      </c>
      <c r="J181" s="397" t="s">
        <v>501</v>
      </c>
      <c r="K181" s="396">
        <v>20</v>
      </c>
      <c r="L181" s="38"/>
      <c r="M181" s="88"/>
      <c r="N181" s="88"/>
      <c r="O181" s="88"/>
      <c r="P181" s="88"/>
      <c r="Q181" s="88"/>
      <c r="R181" s="88"/>
      <c r="S181" s="88"/>
      <c r="T181" s="88"/>
      <c r="U181" s="93"/>
    </row>
    <row r="182" spans="2:21" ht="15.75">
      <c r="B182" s="1293"/>
      <c r="C182" s="102"/>
      <c r="D182" s="398" t="s">
        <v>24</v>
      </c>
      <c r="E182" s="394">
        <v>1981</v>
      </c>
      <c r="F182" s="395"/>
      <c r="G182" s="396" t="s">
        <v>436</v>
      </c>
      <c r="H182" s="38"/>
      <c r="I182" s="39"/>
      <c r="J182" s="39"/>
      <c r="K182" s="396"/>
      <c r="L182" s="38"/>
      <c r="M182" s="88"/>
      <c r="N182" s="88"/>
      <c r="O182" s="88"/>
      <c r="P182" s="88"/>
      <c r="Q182" s="88"/>
      <c r="R182" s="88"/>
      <c r="S182" s="88"/>
      <c r="T182" s="88"/>
      <c r="U182" s="93"/>
    </row>
    <row r="183" spans="2:21" ht="15.75">
      <c r="B183" s="1293"/>
      <c r="C183" s="102"/>
      <c r="D183" s="398" t="s">
        <v>18</v>
      </c>
      <c r="E183" s="394"/>
      <c r="F183" s="395"/>
      <c r="G183" s="396" t="s">
        <v>493</v>
      </c>
      <c r="H183" s="38"/>
      <c r="I183" s="39"/>
      <c r="J183" s="39"/>
      <c r="K183" s="396"/>
      <c r="L183" s="38"/>
      <c r="M183" s="88"/>
      <c r="N183" s="88"/>
      <c r="O183" s="88"/>
      <c r="P183" s="88"/>
      <c r="Q183" s="88"/>
      <c r="R183" s="88"/>
      <c r="S183" s="88"/>
      <c r="T183" s="88"/>
      <c r="U183" s="93"/>
    </row>
    <row r="184" spans="2:21" ht="15.75">
      <c r="B184" s="1293"/>
      <c r="C184" s="102"/>
      <c r="D184" s="398" t="s">
        <v>10</v>
      </c>
      <c r="E184" s="394">
        <v>1965</v>
      </c>
      <c r="F184" s="395"/>
      <c r="G184" s="411" t="s">
        <v>447</v>
      </c>
      <c r="H184" s="396"/>
      <c r="I184" s="39"/>
      <c r="J184" s="39"/>
      <c r="K184" s="396"/>
      <c r="L184" s="38"/>
      <c r="M184" s="88"/>
      <c r="N184" s="88"/>
      <c r="O184" s="88"/>
      <c r="P184" s="88"/>
      <c r="Q184" s="88"/>
      <c r="R184" s="88"/>
      <c r="S184" s="88"/>
      <c r="T184" s="88"/>
      <c r="U184" s="93"/>
    </row>
    <row r="185" spans="2:21" ht="15.75">
      <c r="B185" s="1293"/>
      <c r="C185" s="102"/>
      <c r="D185" s="398" t="s">
        <v>13</v>
      </c>
      <c r="E185" s="36"/>
      <c r="F185" s="37"/>
      <c r="G185" s="38"/>
      <c r="H185" s="38"/>
      <c r="I185" s="39"/>
      <c r="J185" s="39"/>
      <c r="K185" s="396">
        <v>3</v>
      </c>
      <c r="L185" s="38"/>
      <c r="M185" s="88"/>
      <c r="N185" s="88"/>
      <c r="O185" s="88"/>
      <c r="P185" s="88"/>
      <c r="Q185" s="88"/>
      <c r="R185" s="88"/>
      <c r="S185" s="88"/>
      <c r="T185" s="88"/>
      <c r="U185" s="93"/>
    </row>
    <row r="186" spans="2:21" ht="15.75">
      <c r="B186" s="1293"/>
      <c r="C186" s="102"/>
      <c r="D186" s="398" t="s">
        <v>218</v>
      </c>
      <c r="E186" s="36"/>
      <c r="F186" s="37"/>
      <c r="G186" s="38"/>
      <c r="H186" s="38"/>
      <c r="I186" s="39"/>
      <c r="J186" s="39"/>
      <c r="K186" s="396"/>
      <c r="L186" s="38"/>
      <c r="M186" s="88"/>
      <c r="N186" s="88"/>
      <c r="O186" s="88"/>
      <c r="P186" s="88"/>
      <c r="Q186" s="88"/>
      <c r="R186" s="88"/>
      <c r="S186" s="88"/>
      <c r="T186" s="88"/>
      <c r="U186" s="93"/>
    </row>
    <row r="187" spans="2:21" ht="15.75">
      <c r="B187" s="1293"/>
      <c r="C187" s="102"/>
      <c r="D187" s="398" t="s">
        <v>16</v>
      </c>
      <c r="E187" s="168"/>
      <c r="F187" s="37"/>
      <c r="G187" s="38"/>
      <c r="H187" s="38"/>
      <c r="I187" s="387"/>
      <c r="J187" s="387"/>
      <c r="K187" s="396">
        <v>2</v>
      </c>
      <c r="L187" s="38"/>
      <c r="M187" s="88"/>
      <c r="N187" s="88"/>
      <c r="O187" s="88"/>
      <c r="P187" s="88"/>
      <c r="Q187" s="88"/>
      <c r="R187" s="88"/>
      <c r="S187" s="88"/>
      <c r="T187" s="88"/>
      <c r="U187" s="93"/>
    </row>
    <row r="188" spans="2:21" ht="15.75">
      <c r="B188" s="1293"/>
      <c r="C188" s="102"/>
      <c r="D188" s="398" t="s">
        <v>352</v>
      </c>
      <c r="E188" s="168"/>
      <c r="F188" s="37"/>
      <c r="G188" s="38"/>
      <c r="H188" s="38"/>
      <c r="I188" s="387"/>
      <c r="J188" s="387"/>
      <c r="K188" s="396"/>
      <c r="L188" s="38"/>
      <c r="M188" s="88"/>
      <c r="N188" s="88"/>
      <c r="O188" s="88"/>
      <c r="P188" s="88"/>
      <c r="Q188" s="88"/>
      <c r="R188" s="88"/>
      <c r="S188" s="88"/>
      <c r="T188" s="88"/>
      <c r="U188" s="93"/>
    </row>
    <row r="189" spans="2:21" ht="15.75">
      <c r="B189" s="1293"/>
      <c r="C189" s="102"/>
      <c r="D189" s="398" t="s">
        <v>339</v>
      </c>
      <c r="E189" s="168"/>
      <c r="F189" s="37"/>
      <c r="G189" s="396" t="s">
        <v>442</v>
      </c>
      <c r="H189" s="38"/>
      <c r="I189" s="387"/>
      <c r="J189" s="387"/>
      <c r="K189" s="396"/>
      <c r="L189" s="38"/>
      <c r="M189" s="88"/>
      <c r="N189" s="88"/>
      <c r="O189" s="88"/>
      <c r="P189" s="88"/>
      <c r="Q189" s="88"/>
      <c r="R189" s="88"/>
      <c r="S189" s="88"/>
      <c r="T189" s="88"/>
      <c r="U189" s="93"/>
    </row>
    <row r="190" spans="2:21" ht="15.75">
      <c r="B190" s="1293"/>
      <c r="C190" s="409" t="s">
        <v>276</v>
      </c>
      <c r="D190" s="398"/>
      <c r="E190" s="168"/>
      <c r="F190" s="37"/>
      <c r="G190" s="38"/>
      <c r="H190" s="38"/>
      <c r="I190" s="387"/>
      <c r="J190" s="387"/>
      <c r="K190" s="396"/>
      <c r="L190" s="38"/>
      <c r="M190" s="88"/>
      <c r="N190" s="88"/>
      <c r="O190" s="88"/>
      <c r="P190" s="88"/>
      <c r="Q190" s="88"/>
      <c r="R190" s="88"/>
      <c r="S190" s="88"/>
      <c r="T190" s="88"/>
      <c r="U190" s="93"/>
    </row>
    <row r="191" spans="2:21" ht="15.75">
      <c r="B191" s="1293"/>
      <c r="C191" s="102"/>
      <c r="D191" s="398" t="s">
        <v>446</v>
      </c>
      <c r="E191" s="168"/>
      <c r="F191" s="37"/>
      <c r="G191" s="38"/>
      <c r="H191" s="38"/>
      <c r="I191" s="387"/>
      <c r="J191" s="387"/>
      <c r="K191" s="396"/>
      <c r="L191" s="38"/>
      <c r="M191" s="88"/>
      <c r="N191" s="88"/>
      <c r="O191" s="88"/>
      <c r="P191" s="88"/>
      <c r="Q191" s="88"/>
      <c r="R191" s="88"/>
      <c r="S191" s="88"/>
      <c r="T191" s="88"/>
      <c r="U191" s="93"/>
    </row>
    <row r="192" spans="2:21" ht="15.75">
      <c r="B192" s="1294"/>
      <c r="C192" s="102"/>
      <c r="D192" s="398" t="s">
        <v>339</v>
      </c>
      <c r="E192" s="168"/>
      <c r="F192" s="37"/>
      <c r="G192" s="396" t="s">
        <v>445</v>
      </c>
      <c r="H192" s="38"/>
      <c r="I192" s="39"/>
      <c r="J192" s="39"/>
      <c r="K192" s="38"/>
      <c r="L192" s="38"/>
      <c r="M192" s="88"/>
      <c r="N192" s="88"/>
      <c r="O192" s="88"/>
      <c r="P192" s="88"/>
      <c r="Q192" s="88"/>
      <c r="R192" s="88"/>
      <c r="S192" s="88"/>
      <c r="T192" s="88"/>
      <c r="U192" s="93"/>
    </row>
    <row r="193" spans="2:21" ht="11.25" customHeight="1">
      <c r="B193" s="1303" t="s">
        <v>277</v>
      </c>
      <c r="C193" s="184"/>
      <c r="D193" s="402"/>
      <c r="E193" s="168"/>
      <c r="F193" s="37"/>
      <c r="G193" s="38"/>
      <c r="H193" s="38"/>
      <c r="I193" s="39"/>
      <c r="J193" s="39"/>
      <c r="K193" s="38"/>
      <c r="L193" s="38"/>
      <c r="M193" s="88"/>
      <c r="N193" s="88"/>
      <c r="O193" s="88"/>
      <c r="P193" s="88"/>
      <c r="Q193" s="88"/>
      <c r="R193" s="88"/>
      <c r="S193" s="88"/>
      <c r="T193" s="88"/>
      <c r="U193" s="93"/>
    </row>
    <row r="194" spans="2:21" ht="15.75">
      <c r="B194" s="1304"/>
      <c r="C194" s="102" t="s">
        <v>278</v>
      </c>
      <c r="D194" s="398"/>
      <c r="E194" s="168"/>
      <c r="F194" s="37"/>
      <c r="G194" s="38"/>
      <c r="H194" s="38"/>
      <c r="I194" s="39"/>
      <c r="J194" s="39"/>
      <c r="K194" s="38"/>
      <c r="L194" s="38"/>
      <c r="M194" s="88"/>
      <c r="N194" s="88"/>
      <c r="O194" s="88"/>
      <c r="P194" s="88"/>
      <c r="Q194" s="88"/>
      <c r="R194" s="88"/>
      <c r="S194" s="88"/>
      <c r="T194" s="88"/>
      <c r="U194" s="93"/>
    </row>
    <row r="195" spans="2:21" ht="15.75">
      <c r="B195" s="1304"/>
      <c r="C195" s="102"/>
      <c r="D195" s="398" t="s">
        <v>212</v>
      </c>
      <c r="E195" s="407">
        <v>1972</v>
      </c>
      <c r="F195" s="395">
        <v>100</v>
      </c>
      <c r="G195" s="396"/>
      <c r="H195" s="38"/>
      <c r="I195" s="39"/>
      <c r="J195" s="39"/>
      <c r="K195" s="396">
        <v>6</v>
      </c>
      <c r="L195" s="38"/>
      <c r="M195" s="88"/>
      <c r="N195" s="88"/>
      <c r="O195" s="88"/>
      <c r="P195" s="88"/>
      <c r="Q195" s="88"/>
      <c r="R195" s="88"/>
      <c r="S195" s="88"/>
      <c r="T195" s="88"/>
      <c r="U195" s="93"/>
    </row>
    <row r="196" spans="2:21" ht="15.75">
      <c r="B196" s="1304"/>
      <c r="C196" s="102"/>
      <c r="D196" s="398" t="s">
        <v>351</v>
      </c>
      <c r="E196" s="407">
        <v>1968</v>
      </c>
      <c r="F196" s="395">
        <v>65</v>
      </c>
      <c r="G196" s="396">
        <v>120</v>
      </c>
      <c r="H196" s="396">
        <v>35</v>
      </c>
      <c r="I196" s="397">
        <v>162</v>
      </c>
      <c r="J196" s="397" t="s">
        <v>501</v>
      </c>
      <c r="K196" s="396">
        <v>29</v>
      </c>
      <c r="L196" s="38"/>
      <c r="M196" s="88"/>
      <c r="N196" s="88"/>
      <c r="O196" s="88"/>
      <c r="P196" s="88"/>
      <c r="Q196" s="88"/>
      <c r="R196" s="88"/>
      <c r="S196" s="88"/>
      <c r="T196" s="88"/>
      <c r="U196" s="93"/>
    </row>
    <row r="197" spans="2:21" ht="38.25">
      <c r="B197" s="1304"/>
      <c r="C197" s="102"/>
      <c r="D197" s="398" t="s">
        <v>503</v>
      </c>
      <c r="E197" s="407">
        <v>1970</v>
      </c>
      <c r="F197" s="395">
        <v>62</v>
      </c>
      <c r="G197" s="396">
        <v>15</v>
      </c>
      <c r="H197" s="396">
        <v>9</v>
      </c>
      <c r="I197" s="397"/>
      <c r="J197" s="397"/>
      <c r="K197" s="396"/>
      <c r="L197" s="38"/>
      <c r="M197" s="88"/>
      <c r="N197" s="88"/>
      <c r="O197" s="88"/>
      <c r="P197" s="88"/>
      <c r="Q197" s="88"/>
      <c r="R197" s="88"/>
      <c r="S197" s="88"/>
      <c r="T197" s="88"/>
      <c r="U197" s="93"/>
    </row>
    <row r="198" spans="2:21" ht="15.75">
      <c r="B198" s="1304"/>
      <c r="C198" s="102"/>
      <c r="D198" s="398" t="s">
        <v>434</v>
      </c>
      <c r="E198" s="407">
        <v>1983</v>
      </c>
      <c r="F198" s="395">
        <v>100</v>
      </c>
      <c r="G198" s="396"/>
      <c r="H198" s="38"/>
      <c r="I198" s="39"/>
      <c r="J198" s="39"/>
      <c r="K198" s="396">
        <v>4</v>
      </c>
      <c r="L198" s="38"/>
      <c r="M198" s="88"/>
      <c r="N198" s="88"/>
      <c r="O198" s="88"/>
      <c r="P198" s="88"/>
      <c r="Q198" s="88"/>
      <c r="R198" s="88"/>
      <c r="S198" s="88"/>
      <c r="T198" s="93"/>
      <c r="U198" s="93"/>
    </row>
    <row r="199" spans="2:21" ht="15.75">
      <c r="B199" s="1304"/>
      <c r="C199" s="102"/>
      <c r="D199" s="398" t="s">
        <v>10</v>
      </c>
      <c r="E199" s="407">
        <v>1983</v>
      </c>
      <c r="F199" s="395">
        <v>100</v>
      </c>
      <c r="G199" s="396"/>
      <c r="H199" s="38"/>
      <c r="I199" s="39"/>
      <c r="J199" s="39"/>
      <c r="K199" s="396">
        <v>1</v>
      </c>
      <c r="L199" s="38"/>
      <c r="M199" s="88"/>
      <c r="N199" s="88"/>
      <c r="O199" s="88"/>
      <c r="P199" s="88"/>
      <c r="Q199" s="88"/>
      <c r="R199" s="88"/>
      <c r="S199" s="88"/>
      <c r="T199" s="93"/>
      <c r="U199" s="93"/>
    </row>
    <row r="200" spans="2:21" ht="15.75">
      <c r="B200" s="1304"/>
      <c r="C200" s="102"/>
      <c r="D200" s="398" t="s">
        <v>13</v>
      </c>
      <c r="E200" s="407"/>
      <c r="F200" s="395"/>
      <c r="G200" s="396"/>
      <c r="H200" s="38"/>
      <c r="I200" s="39"/>
      <c r="J200" s="39"/>
      <c r="K200" s="396">
        <v>2</v>
      </c>
      <c r="L200" s="38"/>
      <c r="M200" s="88"/>
      <c r="N200" s="88"/>
      <c r="O200" s="88"/>
      <c r="P200" s="88"/>
      <c r="Q200" s="88"/>
      <c r="R200" s="88"/>
      <c r="S200" s="88"/>
      <c r="T200" s="93"/>
      <c r="U200" s="93"/>
    </row>
    <row r="201" spans="2:21" ht="15.75">
      <c r="B201" s="1304"/>
      <c r="C201" s="102"/>
      <c r="D201" s="398" t="s">
        <v>16</v>
      </c>
      <c r="E201" s="407">
        <v>1968</v>
      </c>
      <c r="F201" s="395">
        <v>100</v>
      </c>
      <c r="G201" s="396"/>
      <c r="H201" s="38"/>
      <c r="I201" s="39"/>
      <c r="J201" s="39"/>
      <c r="K201" s="396">
        <v>2</v>
      </c>
      <c r="L201" s="38"/>
      <c r="M201" s="88"/>
      <c r="N201" s="88"/>
      <c r="O201" s="88"/>
      <c r="P201" s="88"/>
      <c r="Q201" s="88"/>
      <c r="R201" s="88"/>
      <c r="S201" s="88"/>
      <c r="T201" s="93"/>
      <c r="U201" s="93"/>
    </row>
    <row r="202" spans="2:21" ht="14.25" customHeight="1">
      <c r="B202" s="1304"/>
      <c r="C202" s="102"/>
      <c r="D202" s="398" t="s">
        <v>352</v>
      </c>
      <c r="E202" s="407"/>
      <c r="F202" s="395"/>
      <c r="G202" s="396"/>
      <c r="H202" s="38"/>
      <c r="I202" s="39"/>
      <c r="J202" s="39"/>
      <c r="K202" s="396"/>
      <c r="L202" s="38"/>
      <c r="M202" s="88"/>
      <c r="N202" s="88"/>
      <c r="O202" s="88"/>
      <c r="P202" s="88"/>
      <c r="Q202" s="88"/>
      <c r="R202" s="97"/>
      <c r="S202" s="93"/>
      <c r="T202" s="88"/>
      <c r="U202" s="93"/>
    </row>
    <row r="203" spans="2:21" ht="15.75">
      <c r="B203" s="1304"/>
      <c r="C203" s="102"/>
      <c r="D203" s="398" t="s">
        <v>339</v>
      </c>
      <c r="E203" s="407"/>
      <c r="F203" s="395"/>
      <c r="G203" s="396" t="s">
        <v>494</v>
      </c>
      <c r="H203" s="38"/>
      <c r="I203" s="39"/>
      <c r="J203" s="39"/>
      <c r="K203" s="396"/>
      <c r="L203" s="38"/>
      <c r="M203" s="88"/>
      <c r="N203" s="88"/>
      <c r="O203" s="88"/>
      <c r="P203" s="88"/>
      <c r="Q203" s="88"/>
      <c r="R203" s="97"/>
      <c r="S203" s="93"/>
      <c r="T203" s="88"/>
      <c r="U203" s="93"/>
    </row>
    <row r="204" spans="2:21" ht="15.75">
      <c r="B204" s="1304"/>
      <c r="C204" s="102" t="s">
        <v>279</v>
      </c>
      <c r="D204" s="398"/>
      <c r="E204" s="407"/>
      <c r="F204" s="395"/>
      <c r="G204" s="408"/>
      <c r="H204" s="38"/>
      <c r="I204" s="39"/>
      <c r="J204" s="39"/>
      <c r="K204" s="396"/>
      <c r="L204" s="38"/>
      <c r="M204" s="88"/>
      <c r="N204" s="88"/>
      <c r="O204" s="88"/>
      <c r="P204" s="88"/>
      <c r="Q204" s="88"/>
      <c r="R204" s="97"/>
      <c r="S204" s="93"/>
      <c r="T204" s="88"/>
      <c r="U204" s="93"/>
    </row>
    <row r="205" spans="2:21" ht="15.75">
      <c r="B205" s="1304"/>
      <c r="C205" s="102"/>
      <c r="D205" s="398" t="s">
        <v>16</v>
      </c>
      <c r="E205" s="407"/>
      <c r="F205" s="395">
        <v>100</v>
      </c>
      <c r="G205" s="408"/>
      <c r="H205" s="38"/>
      <c r="I205" s="39"/>
      <c r="J205" s="39"/>
      <c r="K205" s="396">
        <v>2</v>
      </c>
      <c r="L205" s="38"/>
      <c r="M205" s="88"/>
      <c r="N205" s="88"/>
      <c r="O205" s="88"/>
      <c r="P205" s="88"/>
      <c r="Q205" s="88"/>
      <c r="R205" s="97"/>
      <c r="S205" s="93"/>
      <c r="T205" s="88"/>
      <c r="U205" s="93"/>
    </row>
    <row r="206" spans="2:21" ht="15.75">
      <c r="B206" s="1304"/>
      <c r="C206" s="102"/>
      <c r="D206" s="398" t="s">
        <v>15</v>
      </c>
      <c r="E206" s="407"/>
      <c r="F206" s="395"/>
      <c r="G206" s="408"/>
      <c r="H206" s="38"/>
      <c r="I206" s="39"/>
      <c r="J206" s="39"/>
      <c r="K206" s="396">
        <v>3</v>
      </c>
      <c r="L206" s="38"/>
      <c r="M206" s="88"/>
      <c r="N206" s="88"/>
      <c r="O206" s="88"/>
      <c r="P206" s="88"/>
      <c r="Q206" s="88"/>
      <c r="R206" s="97"/>
      <c r="S206" s="93"/>
      <c r="T206" s="88"/>
      <c r="U206" s="93"/>
    </row>
    <row r="207" spans="2:21" ht="15.75">
      <c r="B207" s="1304"/>
      <c r="C207" s="102"/>
      <c r="D207" s="398" t="s">
        <v>13</v>
      </c>
      <c r="E207" s="407"/>
      <c r="F207" s="395"/>
      <c r="G207" s="408"/>
      <c r="H207" s="38"/>
      <c r="I207" s="39"/>
      <c r="J207" s="39"/>
      <c r="K207" s="396">
        <v>1</v>
      </c>
      <c r="L207" s="38"/>
      <c r="M207" s="88"/>
      <c r="N207" s="88"/>
      <c r="O207" s="88"/>
      <c r="P207" s="88"/>
      <c r="Q207" s="88"/>
      <c r="R207" s="97"/>
      <c r="S207" s="93"/>
      <c r="T207" s="88"/>
      <c r="U207" s="88"/>
    </row>
    <row r="208" spans="2:21" ht="15.75">
      <c r="B208" s="1304"/>
      <c r="C208" s="102"/>
      <c r="D208" s="398" t="s">
        <v>10</v>
      </c>
      <c r="E208" s="407">
        <v>1958</v>
      </c>
      <c r="F208" s="395">
        <v>100</v>
      </c>
      <c r="G208" s="408"/>
      <c r="H208" s="38"/>
      <c r="I208" s="39"/>
      <c r="J208" s="39"/>
      <c r="K208" s="396">
        <v>1</v>
      </c>
      <c r="L208" s="38"/>
      <c r="M208" s="88"/>
      <c r="N208" s="88"/>
      <c r="O208" s="88"/>
      <c r="P208" s="88"/>
      <c r="Q208" s="88"/>
      <c r="R208" s="97"/>
      <c r="S208" s="93"/>
      <c r="T208" s="88"/>
      <c r="U208" s="88"/>
    </row>
    <row r="209" spans="2:21" ht="15.75">
      <c r="B209" s="1304"/>
      <c r="C209" s="102"/>
      <c r="D209" s="398" t="s">
        <v>14</v>
      </c>
      <c r="E209" s="407"/>
      <c r="F209" s="395"/>
      <c r="G209" s="408"/>
      <c r="H209" s="38"/>
      <c r="I209" s="39"/>
      <c r="J209" s="39"/>
      <c r="K209" s="396"/>
      <c r="L209" s="38"/>
      <c r="M209" s="88"/>
      <c r="N209" s="88"/>
      <c r="O209" s="88"/>
      <c r="P209" s="88"/>
      <c r="Q209" s="88"/>
      <c r="R209" s="97"/>
      <c r="S209" s="93"/>
      <c r="T209" s="88"/>
      <c r="U209" s="88"/>
    </row>
    <row r="210" spans="2:21" ht="15.75">
      <c r="B210" s="1304"/>
      <c r="C210" s="102"/>
      <c r="D210" s="398" t="s">
        <v>339</v>
      </c>
      <c r="E210" s="407"/>
      <c r="F210" s="395"/>
      <c r="G210" s="408"/>
      <c r="H210" s="38"/>
      <c r="I210" s="39"/>
      <c r="J210" s="39"/>
      <c r="K210" s="396"/>
      <c r="L210" s="38"/>
      <c r="M210" s="88"/>
      <c r="N210" s="88"/>
      <c r="O210" s="88"/>
      <c r="P210" s="88"/>
      <c r="Q210" s="88"/>
      <c r="R210" s="97"/>
      <c r="S210" s="93"/>
      <c r="T210" s="88"/>
      <c r="U210" s="88"/>
    </row>
    <row r="211" spans="2:21" ht="15.75">
      <c r="B211" s="1304"/>
      <c r="C211" s="102" t="s">
        <v>280</v>
      </c>
      <c r="D211" s="398"/>
      <c r="E211" s="331"/>
      <c r="F211" s="331"/>
      <c r="G211" s="331"/>
      <c r="H211" s="20"/>
      <c r="I211" s="20"/>
      <c r="J211" s="20"/>
      <c r="K211" s="330"/>
      <c r="L211" s="20"/>
      <c r="M211" s="88"/>
      <c r="N211" s="88"/>
      <c r="O211" s="88"/>
      <c r="P211" s="88"/>
      <c r="Q211" s="88"/>
      <c r="R211" s="97"/>
      <c r="S211" s="93"/>
      <c r="T211" s="88"/>
      <c r="U211" s="88"/>
    </row>
    <row r="212" spans="2:21" ht="15.75">
      <c r="B212" s="1304"/>
      <c r="C212" s="102"/>
      <c r="D212" s="398" t="s">
        <v>16</v>
      </c>
      <c r="E212" s="331"/>
      <c r="F212" s="331">
        <v>100</v>
      </c>
      <c r="G212" s="331"/>
      <c r="H212" s="20"/>
      <c r="I212" s="20"/>
      <c r="J212" s="20"/>
      <c r="K212" s="330">
        <v>2</v>
      </c>
      <c r="L212" s="20"/>
      <c r="M212" s="88"/>
      <c r="N212" s="88"/>
      <c r="O212" s="88"/>
      <c r="P212" s="88"/>
      <c r="Q212" s="88"/>
      <c r="R212" s="97"/>
      <c r="S212" s="93"/>
      <c r="T212" s="88"/>
      <c r="U212" s="88"/>
    </row>
    <row r="213" spans="2:21" ht="15.75">
      <c r="B213" s="1304"/>
      <c r="C213" s="102"/>
      <c r="D213" s="398" t="s">
        <v>10</v>
      </c>
      <c r="E213" s="331">
        <v>1992</v>
      </c>
      <c r="F213" s="331">
        <v>100</v>
      </c>
      <c r="G213" s="331"/>
      <c r="H213" s="20"/>
      <c r="I213" s="20"/>
      <c r="J213" s="20"/>
      <c r="K213" s="330">
        <v>1</v>
      </c>
      <c r="L213" s="20"/>
      <c r="M213" s="88"/>
      <c r="N213" s="88"/>
      <c r="O213" s="88"/>
      <c r="P213" s="88"/>
      <c r="Q213" s="88"/>
      <c r="R213" s="97"/>
      <c r="S213" s="93"/>
      <c r="T213" s="88"/>
      <c r="U213" s="88"/>
    </row>
    <row r="214" spans="2:21" ht="15.75">
      <c r="B214" s="1304"/>
      <c r="C214" s="102"/>
      <c r="D214" s="398" t="s">
        <v>14</v>
      </c>
      <c r="E214" s="331"/>
      <c r="F214" s="331"/>
      <c r="G214" s="331"/>
      <c r="H214" s="20"/>
      <c r="I214" s="20"/>
      <c r="J214" s="20"/>
      <c r="K214" s="330"/>
      <c r="L214" s="20"/>
      <c r="M214" s="88"/>
      <c r="N214" s="88"/>
      <c r="O214" s="88"/>
      <c r="P214" s="88"/>
      <c r="Q214" s="88"/>
      <c r="R214" s="97"/>
      <c r="S214" s="93"/>
      <c r="T214" s="88"/>
      <c r="U214" s="88"/>
    </row>
    <row r="215" spans="2:21" ht="15.75">
      <c r="B215" s="1304"/>
      <c r="C215" s="102"/>
      <c r="D215" s="398" t="s">
        <v>339</v>
      </c>
      <c r="E215" s="331"/>
      <c r="F215" s="331"/>
      <c r="G215" s="331"/>
      <c r="H215" s="20"/>
      <c r="I215" s="20"/>
      <c r="J215" s="20"/>
      <c r="K215" s="330"/>
      <c r="L215" s="20"/>
      <c r="M215" s="88"/>
      <c r="N215" s="88"/>
      <c r="O215" s="88"/>
      <c r="P215" s="88"/>
      <c r="Q215" s="88"/>
      <c r="R215" s="97"/>
      <c r="S215" s="93"/>
      <c r="T215" s="88"/>
      <c r="U215" s="88"/>
    </row>
    <row r="216" spans="2:21" ht="15.75">
      <c r="B216" s="1304"/>
      <c r="C216" s="102" t="s">
        <v>281</v>
      </c>
      <c r="D216" s="398"/>
      <c r="E216" s="407"/>
      <c r="F216" s="395"/>
      <c r="G216" s="396"/>
      <c r="H216" s="38"/>
      <c r="I216" s="38"/>
      <c r="J216" s="38"/>
      <c r="K216" s="396"/>
      <c r="L216" s="38"/>
      <c r="M216" s="88"/>
      <c r="N216" s="88"/>
      <c r="O216" s="88"/>
      <c r="P216" s="88"/>
      <c r="Q216" s="88"/>
      <c r="R216" s="97"/>
      <c r="S216" s="93"/>
      <c r="T216" s="88"/>
      <c r="U216" s="88"/>
    </row>
    <row r="217" spans="2:21" ht="15.75">
      <c r="B217" s="1304"/>
      <c r="C217" s="102" t="s">
        <v>282</v>
      </c>
      <c r="D217" s="398"/>
      <c r="E217" s="407"/>
      <c r="F217" s="395"/>
      <c r="G217" s="396"/>
      <c r="H217" s="38"/>
      <c r="I217" s="39"/>
      <c r="J217" s="39"/>
      <c r="K217" s="396"/>
      <c r="L217" s="38"/>
      <c r="M217" s="88"/>
      <c r="N217" s="88"/>
      <c r="O217" s="88"/>
      <c r="P217" s="88"/>
      <c r="Q217" s="88"/>
      <c r="R217" s="97"/>
      <c r="S217" s="93"/>
      <c r="T217" s="88"/>
      <c r="U217" s="88"/>
    </row>
    <row r="218" spans="2:21" ht="15" customHeight="1">
      <c r="B218" s="1304"/>
      <c r="C218" s="102"/>
      <c r="D218" s="398" t="s">
        <v>16</v>
      </c>
      <c r="E218" s="407">
        <v>1956</v>
      </c>
      <c r="F218" s="395">
        <v>100</v>
      </c>
      <c r="G218" s="396">
        <v>5</v>
      </c>
      <c r="H218" s="38">
        <v>10</v>
      </c>
      <c r="I218" s="39"/>
      <c r="J218" s="39"/>
      <c r="K218" s="396">
        <v>2</v>
      </c>
      <c r="L218" s="38"/>
      <c r="M218" s="88"/>
      <c r="N218" s="88"/>
      <c r="O218" s="88"/>
      <c r="P218" s="88"/>
      <c r="Q218" s="88"/>
      <c r="R218" s="97"/>
      <c r="S218" s="93"/>
      <c r="T218" s="88"/>
      <c r="U218" s="88"/>
    </row>
    <row r="219" spans="2:21" ht="15" customHeight="1">
      <c r="B219" s="1304"/>
      <c r="C219" s="102"/>
      <c r="D219" s="398" t="s">
        <v>353</v>
      </c>
      <c r="E219" s="407"/>
      <c r="F219" s="395"/>
      <c r="G219" s="396"/>
      <c r="H219" s="38"/>
      <c r="I219" s="39"/>
      <c r="J219" s="39"/>
      <c r="K219" s="396"/>
      <c r="L219" s="38"/>
      <c r="M219" s="88"/>
      <c r="N219" s="88"/>
      <c r="O219" s="88"/>
      <c r="P219" s="88"/>
      <c r="Q219" s="88"/>
      <c r="R219" s="97"/>
      <c r="S219" s="93"/>
      <c r="T219" s="88"/>
      <c r="U219" s="88"/>
    </row>
    <row r="220" spans="2:21" ht="15.75">
      <c r="B220" s="1304"/>
      <c r="C220" s="102"/>
      <c r="D220" s="398" t="s">
        <v>339</v>
      </c>
      <c r="E220" s="407"/>
      <c r="F220" s="395"/>
      <c r="G220" s="396"/>
      <c r="H220" s="38"/>
      <c r="I220" s="39"/>
      <c r="J220" s="39"/>
      <c r="K220" s="396"/>
      <c r="L220" s="38"/>
      <c r="M220" s="88"/>
      <c r="N220" s="88"/>
      <c r="O220" s="88"/>
      <c r="P220" s="88"/>
      <c r="Q220" s="88"/>
      <c r="R220" s="97"/>
      <c r="S220" s="93"/>
      <c r="T220" s="88"/>
      <c r="U220" s="88"/>
    </row>
    <row r="221" spans="2:21" ht="15" customHeight="1">
      <c r="B221" s="1305"/>
      <c r="C221" s="102"/>
      <c r="D221" s="398" t="s">
        <v>10</v>
      </c>
      <c r="E221" s="395">
        <v>1957</v>
      </c>
      <c r="F221" s="395"/>
      <c r="G221" s="408">
        <v>100</v>
      </c>
      <c r="H221" s="38"/>
      <c r="I221" s="39"/>
      <c r="J221" s="39"/>
      <c r="K221" s="396">
        <v>2</v>
      </c>
      <c r="L221" s="38"/>
      <c r="M221" s="88"/>
      <c r="N221" s="88"/>
      <c r="O221" s="88"/>
      <c r="P221" s="88"/>
      <c r="Q221" s="88"/>
      <c r="R221" s="97"/>
      <c r="S221" s="93"/>
      <c r="T221" s="88"/>
      <c r="U221" s="88"/>
    </row>
    <row r="222" spans="2:21" ht="31.5" customHeight="1">
      <c r="B222" s="1292" t="s">
        <v>283</v>
      </c>
      <c r="C222" s="184"/>
      <c r="D222" s="402"/>
      <c r="E222" s="20"/>
      <c r="F222" s="20"/>
      <c r="G222" s="20"/>
      <c r="H222" s="20"/>
      <c r="I222" s="20"/>
      <c r="J222" s="20"/>
      <c r="K222" s="20"/>
      <c r="L222" s="20"/>
      <c r="M222" s="88"/>
      <c r="N222" s="88"/>
      <c r="O222" s="88"/>
      <c r="P222" s="88"/>
      <c r="Q222" s="88"/>
      <c r="R222" s="97"/>
      <c r="S222" s="93"/>
      <c r="T222" s="88"/>
      <c r="U222" s="88"/>
    </row>
    <row r="223" spans="2:21" ht="15.75">
      <c r="B223" s="1306"/>
      <c r="C223" s="409" t="s">
        <v>284</v>
      </c>
      <c r="D223" s="398"/>
      <c r="E223" s="36"/>
      <c r="F223" s="37"/>
      <c r="G223" s="396"/>
      <c r="H223" s="38"/>
      <c r="I223" s="39"/>
      <c r="J223" s="39"/>
      <c r="K223" s="38"/>
      <c r="L223" s="38"/>
      <c r="M223" s="88"/>
      <c r="N223" s="88"/>
      <c r="O223" s="88"/>
      <c r="P223" s="88"/>
      <c r="Q223" s="88"/>
      <c r="R223" s="97"/>
      <c r="S223" s="93"/>
      <c r="T223" s="88"/>
      <c r="U223" s="88"/>
    </row>
    <row r="224" spans="2:21" ht="15.75">
      <c r="B224" s="1306"/>
      <c r="C224" s="102"/>
      <c r="D224" s="398" t="s">
        <v>212</v>
      </c>
      <c r="E224" s="394">
        <v>1968</v>
      </c>
      <c r="F224" s="395">
        <v>100</v>
      </c>
      <c r="G224" s="396"/>
      <c r="H224" s="38"/>
      <c r="I224" s="39"/>
      <c r="J224" s="39"/>
      <c r="K224" s="396">
        <v>7</v>
      </c>
      <c r="L224" s="38"/>
      <c r="M224" s="482" t="s">
        <v>448</v>
      </c>
      <c r="N224" s="88"/>
      <c r="O224" s="88"/>
      <c r="P224" s="88"/>
      <c r="Q224" s="88"/>
      <c r="R224" s="97"/>
      <c r="S224" s="93"/>
      <c r="T224" s="88"/>
      <c r="U224" s="88"/>
    </row>
    <row r="225" spans="2:21" ht="15.75">
      <c r="B225" s="1306"/>
      <c r="C225" s="102"/>
      <c r="D225" s="398" t="s">
        <v>215</v>
      </c>
      <c r="E225" s="394">
        <v>1976</v>
      </c>
      <c r="F225" s="395">
        <v>100</v>
      </c>
      <c r="G225" s="396" t="s">
        <v>349</v>
      </c>
      <c r="H225" s="38"/>
      <c r="I225" s="39"/>
      <c r="J225" s="39"/>
      <c r="K225" s="396">
        <v>7</v>
      </c>
      <c r="L225" s="38"/>
      <c r="M225" s="482" t="s">
        <v>448</v>
      </c>
      <c r="N225" s="88"/>
      <c r="O225" s="88"/>
      <c r="P225" s="88"/>
      <c r="Q225" s="88"/>
      <c r="R225" s="97"/>
      <c r="S225" s="93"/>
      <c r="T225" s="88"/>
      <c r="U225" s="93"/>
    </row>
    <row r="226" spans="2:21" ht="15.75">
      <c r="B226" s="1306"/>
      <c r="C226" s="102"/>
      <c r="D226" s="398" t="s">
        <v>167</v>
      </c>
      <c r="E226" s="394">
        <v>1995</v>
      </c>
      <c r="F226" s="395">
        <v>24</v>
      </c>
      <c r="G226" s="396">
        <v>130</v>
      </c>
      <c r="H226" s="396">
        <v>81</v>
      </c>
      <c r="I226" s="397" t="s">
        <v>501</v>
      </c>
      <c r="J226" s="397" t="s">
        <v>501</v>
      </c>
      <c r="K226" s="396">
        <v>30</v>
      </c>
      <c r="L226" s="38"/>
      <c r="M226" s="88"/>
      <c r="N226" s="88"/>
      <c r="O226" s="88"/>
      <c r="P226" s="88"/>
      <c r="Q226" s="88"/>
      <c r="R226" s="97"/>
      <c r="S226" s="93"/>
      <c r="T226" s="88"/>
      <c r="U226" s="93"/>
    </row>
    <row r="227" spans="2:21" ht="15.75">
      <c r="B227" s="1306"/>
      <c r="C227" s="102"/>
      <c r="D227" s="398" t="s">
        <v>10</v>
      </c>
      <c r="E227" s="394">
        <v>1976</v>
      </c>
      <c r="F227" s="395">
        <v>100</v>
      </c>
      <c r="G227" s="411" t="s">
        <v>350</v>
      </c>
      <c r="H227" s="38"/>
      <c r="I227" s="39"/>
      <c r="J227" s="39"/>
      <c r="K227" s="396">
        <v>2</v>
      </c>
      <c r="L227" s="38"/>
      <c r="M227" s="482" t="s">
        <v>448</v>
      </c>
      <c r="N227" s="88"/>
      <c r="O227" s="88"/>
      <c r="P227" s="88"/>
      <c r="Q227" s="88"/>
      <c r="R227" s="97"/>
      <c r="S227" s="93"/>
      <c r="T227" s="88"/>
      <c r="U227" s="93"/>
    </row>
    <row r="228" spans="2:21" ht="15.75">
      <c r="B228" s="1306"/>
      <c r="C228" s="102"/>
      <c r="D228" s="398" t="s">
        <v>16</v>
      </c>
      <c r="E228" s="394">
        <v>1978</v>
      </c>
      <c r="F228" s="395">
        <v>83</v>
      </c>
      <c r="G228" s="396"/>
      <c r="H228" s="38"/>
      <c r="I228" s="39"/>
      <c r="J228" s="39"/>
      <c r="K228" s="396">
        <v>5</v>
      </c>
      <c r="L228" s="38"/>
      <c r="M228" s="88"/>
      <c r="N228" s="88"/>
      <c r="O228" s="88"/>
      <c r="P228" s="88"/>
      <c r="Q228" s="88"/>
      <c r="R228" s="97"/>
      <c r="S228" s="93"/>
      <c r="T228" s="88"/>
      <c r="U228" s="93"/>
    </row>
    <row r="229" spans="2:21" ht="15.75">
      <c r="B229" s="1306"/>
      <c r="C229" s="102"/>
      <c r="D229" s="398" t="s">
        <v>13</v>
      </c>
      <c r="E229" s="394">
        <v>1980</v>
      </c>
      <c r="F229" s="395">
        <v>100</v>
      </c>
      <c r="G229" s="396"/>
      <c r="H229" s="38"/>
      <c r="I229" s="39"/>
      <c r="J229" s="39"/>
      <c r="K229" s="396">
        <v>4</v>
      </c>
      <c r="L229" s="38"/>
      <c r="M229" s="482" t="s">
        <v>448</v>
      </c>
      <c r="N229" s="88"/>
      <c r="O229" s="88"/>
      <c r="P229" s="88"/>
      <c r="Q229" s="88"/>
      <c r="R229" s="97"/>
      <c r="S229" s="93"/>
      <c r="T229" s="88"/>
      <c r="U229" s="93"/>
    </row>
    <row r="230" spans="2:21" ht="25.5">
      <c r="B230" s="1306"/>
      <c r="C230" s="102"/>
      <c r="D230" s="398" t="s">
        <v>348</v>
      </c>
      <c r="E230" s="394">
        <v>1980</v>
      </c>
      <c r="F230" s="395">
        <v>100</v>
      </c>
      <c r="G230" s="396" t="s">
        <v>441</v>
      </c>
      <c r="H230" s="38"/>
      <c r="I230" s="39"/>
      <c r="J230" s="39"/>
      <c r="K230" s="396">
        <v>1</v>
      </c>
      <c r="L230" s="38"/>
      <c r="M230" s="88"/>
      <c r="N230" s="88"/>
      <c r="O230" s="88"/>
      <c r="P230" s="88"/>
      <c r="Q230" s="88"/>
      <c r="R230" s="97"/>
      <c r="S230" s="93"/>
      <c r="T230" s="88"/>
      <c r="U230" s="93"/>
    </row>
    <row r="231" spans="2:21" ht="50.25" customHeight="1">
      <c r="B231" s="1306"/>
      <c r="C231" s="102"/>
      <c r="D231" s="398" t="s">
        <v>424</v>
      </c>
      <c r="E231" s="394"/>
      <c r="F231" s="395"/>
      <c r="G231" s="396"/>
      <c r="H231" s="38"/>
      <c r="I231" s="39"/>
      <c r="J231" s="39"/>
      <c r="K231" s="396"/>
      <c r="L231" s="38"/>
      <c r="M231" s="88"/>
      <c r="N231" s="88"/>
      <c r="O231" s="88"/>
      <c r="P231" s="88"/>
      <c r="Q231" s="88"/>
      <c r="R231" s="97"/>
      <c r="S231" s="93"/>
      <c r="T231" s="88"/>
      <c r="U231" s="93"/>
    </row>
    <row r="232" spans="2:21" ht="17.25" customHeight="1">
      <c r="B232" s="1306"/>
      <c r="C232" s="102"/>
      <c r="D232" s="398" t="s">
        <v>339</v>
      </c>
      <c r="E232" s="394"/>
      <c r="F232" s="395"/>
      <c r="G232" s="396" t="s">
        <v>356</v>
      </c>
      <c r="H232" s="38"/>
      <c r="I232" s="39"/>
      <c r="J232" s="39"/>
      <c r="K232" s="396"/>
      <c r="L232" s="38"/>
      <c r="M232" s="88"/>
      <c r="N232" s="88"/>
      <c r="O232" s="88"/>
      <c r="P232" s="88"/>
      <c r="Q232" s="88"/>
      <c r="R232" s="97"/>
      <c r="S232" s="93"/>
      <c r="T232" s="88"/>
      <c r="U232" s="93"/>
    </row>
    <row r="233" spans="2:21" ht="15.75">
      <c r="B233" s="1306"/>
      <c r="C233" s="409" t="s">
        <v>285</v>
      </c>
      <c r="D233" s="398"/>
      <c r="E233" s="168"/>
      <c r="F233" s="37"/>
      <c r="G233" s="396"/>
      <c r="H233" s="38"/>
      <c r="I233" s="39"/>
      <c r="J233" s="39"/>
      <c r="K233" s="396"/>
      <c r="L233" s="38"/>
      <c r="M233" s="88"/>
      <c r="N233" s="88"/>
      <c r="O233" s="88"/>
      <c r="P233" s="88"/>
      <c r="Q233" s="88"/>
      <c r="R233" s="97"/>
      <c r="S233" s="93"/>
      <c r="T233" s="88"/>
      <c r="U233" s="93"/>
    </row>
    <row r="234" spans="2:21" ht="15.75">
      <c r="B234" s="1306"/>
      <c r="C234" s="102"/>
      <c r="D234" s="398" t="s">
        <v>167</v>
      </c>
      <c r="E234" s="407">
        <v>1962</v>
      </c>
      <c r="F234" s="395">
        <v>74</v>
      </c>
      <c r="G234" s="396">
        <v>150</v>
      </c>
      <c r="H234" s="396">
        <v>25</v>
      </c>
      <c r="I234" s="397">
        <v>49.5</v>
      </c>
      <c r="J234" s="397" t="s">
        <v>501</v>
      </c>
      <c r="K234" s="396">
        <v>12</v>
      </c>
      <c r="L234" s="38"/>
      <c r="M234" s="88"/>
      <c r="N234" s="88"/>
      <c r="O234" s="88"/>
      <c r="P234" s="88"/>
      <c r="Q234" s="88"/>
      <c r="R234" s="97"/>
      <c r="S234" s="93"/>
      <c r="T234" s="88"/>
      <c r="U234" s="93"/>
    </row>
    <row r="235" spans="2:21" ht="15.75">
      <c r="B235" s="1306"/>
      <c r="C235" s="102"/>
      <c r="D235" s="398" t="s">
        <v>16</v>
      </c>
      <c r="E235" s="407">
        <v>1975</v>
      </c>
      <c r="F235" s="395">
        <v>50</v>
      </c>
      <c r="G235" s="396">
        <v>10</v>
      </c>
      <c r="H235" s="396">
        <v>5</v>
      </c>
      <c r="I235" s="397"/>
      <c r="J235" s="397"/>
      <c r="K235" s="396">
        <v>2</v>
      </c>
      <c r="L235" s="38"/>
      <c r="M235" s="88"/>
      <c r="N235" s="88"/>
      <c r="O235" s="88"/>
      <c r="P235" s="88"/>
      <c r="Q235" s="88"/>
      <c r="R235" s="97"/>
      <c r="S235" s="93"/>
      <c r="T235" s="88"/>
      <c r="U235" s="93"/>
    </row>
    <row r="236" spans="2:21" ht="15.75">
      <c r="B236" s="1306"/>
      <c r="C236" s="409" t="s">
        <v>286</v>
      </c>
      <c r="D236" s="398"/>
      <c r="E236" s="36"/>
      <c r="F236" s="37"/>
      <c r="G236" s="38"/>
      <c r="H236" s="38"/>
      <c r="I236" s="39"/>
      <c r="J236" s="39"/>
      <c r="K236" s="38"/>
      <c r="L236" s="38"/>
      <c r="M236" s="88"/>
      <c r="N236" s="88"/>
      <c r="O236" s="88"/>
      <c r="P236" s="88"/>
      <c r="Q236" s="88"/>
      <c r="R236" s="97"/>
      <c r="S236" s="93"/>
      <c r="T236" s="88"/>
      <c r="U236" s="93"/>
    </row>
    <row r="237" spans="2:21" ht="15.75">
      <c r="B237" s="1306"/>
      <c r="C237" s="102"/>
      <c r="D237" s="398" t="s">
        <v>438</v>
      </c>
      <c r="E237" s="394">
        <v>1913</v>
      </c>
      <c r="F237" s="395">
        <v>100</v>
      </c>
      <c r="G237" s="396"/>
      <c r="H237" s="38"/>
      <c r="I237" s="39"/>
      <c r="J237" s="39"/>
      <c r="K237" s="396"/>
      <c r="L237" s="38"/>
      <c r="M237" s="482" t="s">
        <v>448</v>
      </c>
      <c r="N237" s="88"/>
      <c r="O237" s="88"/>
      <c r="P237" s="88"/>
      <c r="Q237" s="88"/>
      <c r="R237" s="97"/>
      <c r="S237" s="93"/>
      <c r="T237" s="88"/>
      <c r="U237" s="93"/>
    </row>
    <row r="238" spans="2:21" ht="15.75">
      <c r="B238" s="1306"/>
      <c r="C238" s="102" t="s">
        <v>287</v>
      </c>
      <c r="D238" s="398"/>
      <c r="E238" s="36"/>
      <c r="F238" s="37"/>
      <c r="G238" s="38"/>
      <c r="H238" s="38"/>
      <c r="I238" s="39"/>
      <c r="J238" s="39"/>
      <c r="K238" s="38"/>
      <c r="L238" s="38"/>
      <c r="M238" s="88"/>
      <c r="N238" s="88"/>
      <c r="O238" s="88"/>
      <c r="P238" s="88"/>
      <c r="Q238" s="88"/>
      <c r="R238" s="97"/>
      <c r="S238" s="93"/>
      <c r="T238" s="88"/>
      <c r="U238" s="93"/>
    </row>
    <row r="239" spans="2:21" ht="15.75">
      <c r="B239" s="1307"/>
      <c r="C239" s="100" t="s">
        <v>298</v>
      </c>
      <c r="D239" s="404"/>
      <c r="E239" s="168"/>
      <c r="F239" s="37"/>
      <c r="G239" s="38"/>
      <c r="H239" s="38"/>
      <c r="I239" s="39"/>
      <c r="J239" s="39"/>
      <c r="K239" s="38"/>
      <c r="L239" s="38"/>
      <c r="M239" s="88"/>
      <c r="N239" s="88"/>
      <c r="O239" s="88"/>
      <c r="P239" s="88"/>
      <c r="Q239" s="88"/>
      <c r="R239" s="97"/>
      <c r="S239" s="93"/>
      <c r="T239" s="88"/>
      <c r="U239" s="93"/>
    </row>
    <row r="240" spans="2:21" ht="31.5" customHeight="1">
      <c r="B240" s="1303" t="s">
        <v>288</v>
      </c>
      <c r="C240" s="184"/>
      <c r="D240" s="402"/>
      <c r="E240" s="168"/>
      <c r="F240" s="37"/>
      <c r="G240" s="38"/>
      <c r="H240" s="38"/>
      <c r="I240" s="39"/>
      <c r="J240" s="39"/>
      <c r="K240" s="38"/>
      <c r="L240" s="38"/>
      <c r="M240" s="88"/>
      <c r="N240" s="88"/>
      <c r="O240" s="88"/>
      <c r="P240" s="88"/>
      <c r="Q240" s="88"/>
      <c r="R240" s="97"/>
      <c r="S240" s="93"/>
      <c r="T240" s="88"/>
      <c r="U240" s="93"/>
    </row>
    <row r="241" spans="2:21" ht="15.75">
      <c r="B241" s="1304"/>
      <c r="C241" s="409" t="s">
        <v>289</v>
      </c>
      <c r="D241" s="398"/>
      <c r="E241" s="168"/>
      <c r="F241" s="37"/>
      <c r="G241" s="38"/>
      <c r="H241" s="38"/>
      <c r="I241" s="39"/>
      <c r="J241" s="39"/>
      <c r="K241" s="38"/>
      <c r="L241" s="38"/>
      <c r="M241" s="88"/>
      <c r="N241" s="88"/>
      <c r="O241" s="88"/>
      <c r="P241" s="88"/>
      <c r="Q241" s="88"/>
      <c r="R241" s="97"/>
      <c r="S241" s="93"/>
      <c r="T241" s="88"/>
      <c r="U241" s="93"/>
    </row>
    <row r="242" spans="2:21" ht="15.75">
      <c r="B242" s="1304"/>
      <c r="C242" s="102"/>
      <c r="D242" s="398" t="s">
        <v>212</v>
      </c>
      <c r="E242" s="407"/>
      <c r="F242" s="395"/>
      <c r="G242" s="396" t="s">
        <v>361</v>
      </c>
      <c r="H242" s="396"/>
      <c r="I242" s="39"/>
      <c r="J242" s="39"/>
      <c r="K242" s="396">
        <v>8</v>
      </c>
      <c r="L242" s="38"/>
      <c r="M242" s="88"/>
      <c r="N242" s="88"/>
      <c r="O242" s="88"/>
      <c r="P242" s="88"/>
      <c r="Q242" s="88"/>
      <c r="R242" s="97"/>
      <c r="S242" s="93"/>
      <c r="T242" s="88"/>
      <c r="U242" s="93"/>
    </row>
    <row r="243" spans="2:21" ht="15.75">
      <c r="B243" s="1304"/>
      <c r="C243" s="102"/>
      <c r="D243" s="398" t="s">
        <v>11</v>
      </c>
      <c r="E243" s="407">
        <v>1968</v>
      </c>
      <c r="F243" s="395">
        <v>65</v>
      </c>
      <c r="G243" s="396">
        <v>20</v>
      </c>
      <c r="H243" s="396">
        <v>18</v>
      </c>
      <c r="I243" s="397" t="s">
        <v>501</v>
      </c>
      <c r="J243" s="39"/>
      <c r="K243" s="396">
        <v>10</v>
      </c>
      <c r="L243" s="38"/>
      <c r="M243" s="88"/>
      <c r="N243" s="88"/>
      <c r="O243" s="88"/>
      <c r="P243" s="88"/>
      <c r="Q243" s="88"/>
      <c r="R243" s="97"/>
      <c r="S243" s="93"/>
      <c r="T243" s="88"/>
      <c r="U243" s="93"/>
    </row>
    <row r="244" spans="2:21" ht="15.75">
      <c r="B244" s="1304"/>
      <c r="C244" s="102"/>
      <c r="D244" s="398" t="s">
        <v>167</v>
      </c>
      <c r="E244" s="407">
        <v>1994</v>
      </c>
      <c r="F244" s="395">
        <v>26</v>
      </c>
      <c r="G244" s="396">
        <v>324</v>
      </c>
      <c r="H244" s="396">
        <v>101</v>
      </c>
      <c r="I244" s="397">
        <v>288</v>
      </c>
      <c r="J244" s="397" t="s">
        <v>502</v>
      </c>
      <c r="K244" s="396">
        <v>35</v>
      </c>
      <c r="L244" s="38"/>
      <c r="M244" s="88"/>
      <c r="N244" s="88"/>
      <c r="O244" s="88"/>
      <c r="P244" s="88"/>
      <c r="Q244" s="88"/>
      <c r="R244" s="97"/>
      <c r="S244" s="93"/>
      <c r="T244" s="88"/>
      <c r="U244" s="93"/>
    </row>
    <row r="245" spans="2:21" ht="15.75">
      <c r="B245" s="1304"/>
      <c r="C245" s="102"/>
      <c r="D245" s="398" t="s">
        <v>434</v>
      </c>
      <c r="E245" s="407">
        <v>1978</v>
      </c>
      <c r="F245" s="395">
        <v>40</v>
      </c>
      <c r="G245" s="396" t="s">
        <v>360</v>
      </c>
      <c r="H245" s="396"/>
      <c r="I245" s="39"/>
      <c r="J245" s="39"/>
      <c r="K245" s="416">
        <v>10</v>
      </c>
      <c r="L245" s="38"/>
      <c r="M245" s="88"/>
      <c r="N245" s="88"/>
      <c r="O245" s="88"/>
      <c r="P245" s="88"/>
      <c r="Q245" s="88"/>
      <c r="R245" s="97"/>
      <c r="S245" s="93"/>
      <c r="T245" s="88"/>
      <c r="U245" s="93"/>
    </row>
    <row r="246" spans="2:21" ht="15.75">
      <c r="B246" s="1304"/>
      <c r="C246" s="102"/>
      <c r="D246" s="398" t="s">
        <v>10</v>
      </c>
      <c r="E246" s="407">
        <v>1978</v>
      </c>
      <c r="F246" s="395">
        <v>40</v>
      </c>
      <c r="G246" s="411" t="s">
        <v>496</v>
      </c>
      <c r="H246" s="396"/>
      <c r="I246" s="39"/>
      <c r="J246" s="39"/>
      <c r="K246" s="396">
        <v>2</v>
      </c>
      <c r="L246" s="38"/>
      <c r="M246" s="482" t="s">
        <v>450</v>
      </c>
      <c r="N246" s="88"/>
      <c r="O246" s="88"/>
      <c r="P246" s="88"/>
      <c r="Q246" s="88"/>
      <c r="R246" s="97"/>
      <c r="S246" s="93"/>
      <c r="T246" s="88"/>
      <c r="U246" s="93"/>
    </row>
    <row r="247" spans="2:21" ht="15.75">
      <c r="B247" s="1304"/>
      <c r="C247" s="102"/>
      <c r="D247" s="398" t="s">
        <v>218</v>
      </c>
      <c r="E247" s="407">
        <v>1967</v>
      </c>
      <c r="F247" s="395"/>
      <c r="G247" s="396"/>
      <c r="H247" s="396"/>
      <c r="I247" s="39"/>
      <c r="J247" s="39"/>
      <c r="K247" s="396"/>
      <c r="L247" s="38"/>
      <c r="M247" s="88"/>
      <c r="N247" s="88"/>
      <c r="O247" s="88"/>
      <c r="P247" s="88"/>
      <c r="Q247" s="88"/>
      <c r="R247" s="97"/>
      <c r="S247" s="93"/>
      <c r="T247" s="88"/>
      <c r="U247" s="93"/>
    </row>
    <row r="248" spans="2:21" ht="29.25" customHeight="1">
      <c r="B248" s="1304"/>
      <c r="C248" s="102"/>
      <c r="D248" s="398" t="s">
        <v>348</v>
      </c>
      <c r="E248" s="407"/>
      <c r="F248" s="395"/>
      <c r="G248" s="396" t="s">
        <v>441</v>
      </c>
      <c r="H248" s="396"/>
      <c r="I248" s="39"/>
      <c r="J248" s="39"/>
      <c r="K248" s="396">
        <v>1</v>
      </c>
      <c r="L248" s="38"/>
      <c r="M248" s="88"/>
      <c r="N248" s="88"/>
      <c r="O248" s="88"/>
      <c r="P248" s="88"/>
      <c r="Q248" s="88"/>
      <c r="R248" s="97"/>
      <c r="S248" s="93"/>
      <c r="T248" s="88"/>
      <c r="U248" s="93"/>
    </row>
    <row r="249" spans="2:21" ht="25.5" customHeight="1">
      <c r="B249" s="1304"/>
      <c r="C249" s="102"/>
      <c r="D249" s="398" t="s">
        <v>563</v>
      </c>
      <c r="E249" s="407">
        <v>1958</v>
      </c>
      <c r="F249" s="395"/>
      <c r="G249" s="396"/>
      <c r="H249" s="396"/>
      <c r="I249" s="39"/>
      <c r="J249" s="39"/>
      <c r="K249" s="396">
        <v>15</v>
      </c>
      <c r="L249" s="38"/>
      <c r="M249" s="88"/>
      <c r="N249" s="88"/>
      <c r="O249" s="88"/>
      <c r="P249" s="88"/>
      <c r="Q249" s="88"/>
      <c r="R249" s="97"/>
      <c r="S249" s="93"/>
      <c r="T249" s="88"/>
      <c r="U249" s="93"/>
    </row>
    <row r="250" spans="2:21" ht="15.75">
      <c r="B250" s="1304"/>
      <c r="C250" s="102"/>
      <c r="D250" s="398" t="s">
        <v>13</v>
      </c>
      <c r="E250" s="407"/>
      <c r="F250" s="395"/>
      <c r="G250" s="396"/>
      <c r="H250" s="396"/>
      <c r="I250" s="39"/>
      <c r="J250" s="39"/>
      <c r="K250" s="396">
        <v>4</v>
      </c>
      <c r="L250" s="38"/>
      <c r="M250" s="88"/>
      <c r="N250" s="88"/>
      <c r="O250" s="88"/>
      <c r="P250" s="88"/>
      <c r="Q250" s="88"/>
      <c r="R250" s="97"/>
      <c r="S250" s="93"/>
      <c r="T250" s="88"/>
      <c r="U250" s="93"/>
    </row>
    <row r="251" spans="2:21" ht="15.75">
      <c r="B251" s="1304"/>
      <c r="C251" s="102"/>
      <c r="D251" s="398" t="s">
        <v>363</v>
      </c>
      <c r="E251" s="407"/>
      <c r="F251" s="395"/>
      <c r="G251" s="396"/>
      <c r="H251" s="396"/>
      <c r="I251" s="39"/>
      <c r="J251" s="39"/>
      <c r="K251" s="396">
        <v>2</v>
      </c>
      <c r="L251" s="38"/>
      <c r="M251" s="88"/>
      <c r="N251" s="88"/>
      <c r="O251" s="88"/>
      <c r="P251" s="88"/>
      <c r="Q251" s="88"/>
      <c r="R251" s="97"/>
      <c r="S251" s="93"/>
      <c r="T251" s="88"/>
      <c r="U251" s="93"/>
    </row>
    <row r="252" spans="2:21" ht="15.75">
      <c r="B252" s="1304"/>
      <c r="C252" s="102"/>
      <c r="D252" s="398" t="s">
        <v>451</v>
      </c>
      <c r="E252" s="407"/>
      <c r="F252" s="395"/>
      <c r="G252" s="396" t="s">
        <v>498</v>
      </c>
      <c r="H252" s="396"/>
      <c r="I252" s="39"/>
      <c r="J252" s="39"/>
      <c r="K252" s="396"/>
      <c r="L252" s="38"/>
      <c r="M252" s="88"/>
      <c r="N252" s="88"/>
      <c r="O252" s="88"/>
      <c r="P252" s="88"/>
      <c r="Q252" s="88"/>
      <c r="R252" s="97"/>
      <c r="S252" s="93"/>
      <c r="T252" s="88"/>
      <c r="U252" s="93"/>
    </row>
    <row r="253" spans="2:21" ht="15.75">
      <c r="B253" s="1304"/>
      <c r="C253" s="102"/>
      <c r="D253" s="398" t="s">
        <v>339</v>
      </c>
      <c r="E253" s="407"/>
      <c r="F253" s="395"/>
      <c r="G253" s="415" t="s">
        <v>495</v>
      </c>
      <c r="H253" s="396"/>
      <c r="I253" s="39"/>
      <c r="J253" s="39"/>
      <c r="K253" s="396"/>
      <c r="L253" s="38"/>
      <c r="M253" s="88"/>
      <c r="N253" s="88"/>
      <c r="O253" s="88"/>
      <c r="P253" s="88"/>
      <c r="Q253" s="88"/>
      <c r="R253" s="97"/>
      <c r="S253" s="93"/>
      <c r="T253" s="88"/>
      <c r="U253" s="93"/>
    </row>
    <row r="254" spans="2:21" ht="15.75">
      <c r="B254" s="1304"/>
      <c r="C254" s="409" t="s">
        <v>290</v>
      </c>
      <c r="D254" s="398"/>
      <c r="E254" s="407"/>
      <c r="F254" s="395"/>
      <c r="G254" s="396"/>
      <c r="H254" s="396"/>
      <c r="I254" s="39"/>
      <c r="J254" s="39"/>
      <c r="K254" s="396"/>
      <c r="L254" s="38"/>
      <c r="M254" s="88"/>
      <c r="N254" s="88"/>
      <c r="O254" s="88"/>
      <c r="P254" s="88"/>
      <c r="Q254" s="88"/>
      <c r="R254" s="97"/>
      <c r="S254" s="93"/>
      <c r="T254" s="88"/>
      <c r="U254" s="93"/>
    </row>
    <row r="255" spans="2:21" ht="15" customHeight="1">
      <c r="B255" s="1304"/>
      <c r="C255" s="102"/>
      <c r="D255" s="398"/>
      <c r="E255" s="407"/>
      <c r="F255" s="395"/>
      <c r="G255" s="396"/>
      <c r="H255" s="396"/>
      <c r="I255" s="39"/>
      <c r="J255" s="39"/>
      <c r="K255" s="396"/>
      <c r="L255" s="38"/>
      <c r="M255" s="88"/>
      <c r="N255" s="88"/>
      <c r="O255" s="88"/>
      <c r="P255" s="88"/>
      <c r="Q255" s="88"/>
      <c r="R255" s="97"/>
      <c r="S255" s="93"/>
      <c r="T255" s="88"/>
      <c r="U255" s="93"/>
    </row>
    <row r="256" spans="2:21" ht="15" customHeight="1">
      <c r="B256" s="1304"/>
      <c r="C256" s="409" t="s">
        <v>291</v>
      </c>
      <c r="D256" s="398"/>
      <c r="E256" s="394"/>
      <c r="F256" s="395"/>
      <c r="G256" s="396"/>
      <c r="H256" s="396"/>
      <c r="I256" s="39"/>
      <c r="J256" s="39"/>
      <c r="K256" s="396"/>
      <c r="L256" s="38"/>
      <c r="M256" s="88"/>
      <c r="N256" s="88"/>
      <c r="O256" s="88"/>
      <c r="P256" s="88"/>
      <c r="Q256" s="88"/>
      <c r="R256" s="97"/>
      <c r="S256" s="93"/>
      <c r="T256" s="88"/>
      <c r="U256" s="93"/>
    </row>
    <row r="257" spans="2:21" ht="15" customHeight="1">
      <c r="B257" s="1304"/>
      <c r="C257" s="102"/>
      <c r="D257" s="398" t="s">
        <v>16</v>
      </c>
      <c r="E257" s="36">
        <v>1982</v>
      </c>
      <c r="F257" s="37">
        <v>100</v>
      </c>
      <c r="G257" s="396"/>
      <c r="H257" s="396"/>
      <c r="I257" s="39"/>
      <c r="J257" s="39"/>
      <c r="K257" s="396">
        <v>2</v>
      </c>
      <c r="L257" s="38"/>
      <c r="M257" s="88"/>
      <c r="N257" s="88"/>
      <c r="O257" s="88"/>
      <c r="P257" s="88"/>
      <c r="Q257" s="88"/>
      <c r="R257" s="97"/>
      <c r="S257" s="93"/>
      <c r="T257" s="88"/>
      <c r="U257" s="93"/>
    </row>
    <row r="258" spans="2:21" ht="15" customHeight="1">
      <c r="B258" s="1304"/>
      <c r="C258" s="102"/>
      <c r="D258" s="398" t="s">
        <v>10</v>
      </c>
      <c r="E258" s="394">
        <v>1980</v>
      </c>
      <c r="F258" s="395"/>
      <c r="G258" s="396" t="s">
        <v>497</v>
      </c>
      <c r="H258" s="396"/>
      <c r="I258" s="39"/>
      <c r="J258" s="39"/>
      <c r="K258" s="396">
        <v>1</v>
      </c>
      <c r="L258" s="38"/>
      <c r="M258" s="482" t="s">
        <v>449</v>
      </c>
      <c r="N258" s="88"/>
      <c r="O258" s="88"/>
      <c r="P258" s="88"/>
      <c r="Q258" s="88"/>
      <c r="R258" s="97"/>
      <c r="S258" s="93"/>
      <c r="T258" s="88"/>
      <c r="U258" s="93"/>
    </row>
    <row r="259" spans="2:21" ht="15" customHeight="1">
      <c r="B259" s="1304"/>
      <c r="C259" s="102"/>
      <c r="D259" s="398" t="s">
        <v>14</v>
      </c>
      <c r="E259" s="394"/>
      <c r="F259" s="395"/>
      <c r="G259" s="396"/>
      <c r="H259" s="396"/>
      <c r="I259" s="39"/>
      <c r="J259" s="39"/>
      <c r="K259" s="396"/>
      <c r="L259" s="38"/>
      <c r="M259" s="88"/>
      <c r="N259" s="88"/>
      <c r="O259" s="88"/>
      <c r="P259" s="88"/>
      <c r="Q259" s="88"/>
      <c r="R259" s="97"/>
      <c r="S259" s="93"/>
      <c r="T259" s="88"/>
      <c r="U259" s="93"/>
    </row>
    <row r="260" spans="2:21" ht="15.75">
      <c r="B260" s="1305"/>
      <c r="C260" s="102"/>
      <c r="D260" s="398" t="s">
        <v>438</v>
      </c>
      <c r="E260" s="394">
        <v>1980</v>
      </c>
      <c r="F260" s="395"/>
      <c r="G260" s="396"/>
      <c r="H260" s="396"/>
      <c r="I260" s="39"/>
      <c r="J260" s="39"/>
      <c r="K260" s="38">
        <v>3</v>
      </c>
      <c r="L260" s="38"/>
      <c r="M260" s="88"/>
      <c r="N260" s="88"/>
      <c r="O260" s="88"/>
      <c r="P260" s="88"/>
      <c r="Q260" s="88"/>
      <c r="R260" s="97"/>
      <c r="S260" s="93"/>
      <c r="T260" s="88"/>
      <c r="U260" s="93"/>
    </row>
    <row r="261" spans="2:21" ht="31.5" customHeight="1">
      <c r="B261" s="1298" t="s">
        <v>292</v>
      </c>
      <c r="C261" s="184"/>
      <c r="D261" s="402"/>
      <c r="E261" s="437"/>
      <c r="F261" s="438"/>
      <c r="G261" s="439"/>
      <c r="H261" s="439"/>
      <c r="I261" s="440"/>
      <c r="J261" s="440"/>
      <c r="K261" s="439"/>
      <c r="L261" s="439"/>
      <c r="M261" s="88"/>
      <c r="N261" s="88"/>
      <c r="O261" s="88"/>
      <c r="P261" s="88"/>
      <c r="Q261" s="88"/>
      <c r="R261" s="97"/>
      <c r="S261" s="93"/>
      <c r="T261" s="88"/>
      <c r="U261" s="93"/>
    </row>
    <row r="262" spans="2:21" ht="15.75">
      <c r="B262" s="1299"/>
      <c r="C262" s="409" t="s">
        <v>293</v>
      </c>
      <c r="D262" s="398"/>
      <c r="E262" s="36"/>
      <c r="F262" s="37"/>
      <c r="G262" s="38"/>
      <c r="H262" s="38"/>
      <c r="I262" s="170"/>
      <c r="J262" s="170"/>
      <c r="K262" s="38"/>
      <c r="L262" s="38"/>
      <c r="M262" s="88"/>
      <c r="N262" s="88"/>
      <c r="O262" s="88"/>
      <c r="P262" s="88"/>
      <c r="Q262" s="88"/>
      <c r="R262" s="97"/>
      <c r="S262" s="93"/>
      <c r="T262" s="88"/>
      <c r="U262" s="93"/>
    </row>
    <row r="263" spans="2:21" ht="15.75">
      <c r="B263" s="1299"/>
      <c r="C263" s="409"/>
      <c r="D263" s="398" t="s">
        <v>212</v>
      </c>
      <c r="E263" s="394">
        <v>1978</v>
      </c>
      <c r="F263" s="395">
        <v>100</v>
      </c>
      <c r="G263" s="396"/>
      <c r="H263" s="396"/>
      <c r="I263" s="436"/>
      <c r="J263" s="436"/>
      <c r="K263" s="38"/>
      <c r="L263" s="38"/>
      <c r="M263" s="88"/>
      <c r="N263" s="88"/>
      <c r="O263" s="88"/>
      <c r="P263" s="88"/>
      <c r="Q263" s="88"/>
      <c r="R263" s="97"/>
      <c r="S263" s="93"/>
      <c r="T263" s="88"/>
      <c r="U263" s="93"/>
    </row>
    <row r="264" spans="2:21" ht="15.75">
      <c r="B264" s="1299"/>
      <c r="C264" s="409"/>
      <c r="D264" s="398" t="s">
        <v>11</v>
      </c>
      <c r="E264" s="394">
        <v>1987</v>
      </c>
      <c r="F264" s="395">
        <v>36</v>
      </c>
      <c r="G264" s="396">
        <v>25</v>
      </c>
      <c r="H264" s="396">
        <v>18</v>
      </c>
      <c r="I264" s="436" t="s">
        <v>501</v>
      </c>
      <c r="J264" s="436"/>
      <c r="K264" s="396">
        <v>10</v>
      </c>
      <c r="L264" s="38"/>
      <c r="M264" s="88"/>
      <c r="N264" s="88"/>
      <c r="O264" s="88"/>
      <c r="P264" s="88"/>
      <c r="Q264" s="88"/>
      <c r="R264" s="97"/>
      <c r="S264" s="93"/>
      <c r="T264" s="88"/>
      <c r="U264" s="93"/>
    </row>
    <row r="265" spans="2:21" ht="15.75">
      <c r="B265" s="1299"/>
      <c r="C265" s="409"/>
      <c r="D265" s="398" t="s">
        <v>167</v>
      </c>
      <c r="E265" s="394">
        <v>1962</v>
      </c>
      <c r="F265" s="395">
        <v>74</v>
      </c>
      <c r="G265" s="396">
        <v>192</v>
      </c>
      <c r="H265" s="396">
        <v>31</v>
      </c>
      <c r="I265" s="436">
        <v>140.80000000000001</v>
      </c>
      <c r="J265" s="436" t="s">
        <v>501</v>
      </c>
      <c r="K265" s="396">
        <v>22</v>
      </c>
      <c r="L265" s="38"/>
      <c r="M265" s="88"/>
      <c r="N265" s="88"/>
      <c r="O265" s="88"/>
      <c r="P265" s="88"/>
      <c r="Q265" s="88"/>
      <c r="R265" s="97"/>
      <c r="S265" s="93"/>
      <c r="T265" s="88"/>
      <c r="U265" s="93"/>
    </row>
    <row r="266" spans="2:21" ht="15.75">
      <c r="B266" s="1299"/>
      <c r="C266" s="409"/>
      <c r="D266" s="398" t="s">
        <v>18</v>
      </c>
      <c r="E266" s="394"/>
      <c r="F266" s="395"/>
      <c r="G266" s="38"/>
      <c r="H266" s="38"/>
      <c r="I266" s="436"/>
      <c r="J266" s="436"/>
      <c r="K266" s="396"/>
      <c r="L266" s="38"/>
      <c r="M266" s="88"/>
      <c r="N266" s="88"/>
      <c r="O266" s="88"/>
      <c r="P266" s="88"/>
      <c r="Q266" s="88"/>
      <c r="R266" s="97"/>
      <c r="S266" s="93"/>
      <c r="T266" s="88"/>
      <c r="U266" s="93"/>
    </row>
    <row r="267" spans="2:21" ht="15.75">
      <c r="B267" s="1299"/>
      <c r="C267" s="409"/>
      <c r="D267" s="398" t="s">
        <v>16</v>
      </c>
      <c r="E267" s="394">
        <v>1995</v>
      </c>
      <c r="F267" s="395">
        <v>70</v>
      </c>
      <c r="G267" s="396"/>
      <c r="H267" s="396"/>
      <c r="I267" s="436"/>
      <c r="J267" s="436"/>
      <c r="K267" s="396">
        <v>2</v>
      </c>
      <c r="L267" s="38"/>
      <c r="M267" s="88"/>
      <c r="N267" s="88"/>
      <c r="O267" s="88"/>
      <c r="P267" s="88"/>
      <c r="Q267" s="88"/>
      <c r="R267" s="97"/>
      <c r="S267" s="93"/>
      <c r="T267" s="88"/>
      <c r="U267" s="93"/>
    </row>
    <row r="268" spans="2:21" ht="15.75">
      <c r="B268" s="1299"/>
      <c r="C268" s="409"/>
      <c r="D268" s="398" t="s">
        <v>434</v>
      </c>
      <c r="E268" s="394">
        <v>1959</v>
      </c>
      <c r="F268" s="395">
        <v>100</v>
      </c>
      <c r="G268" s="396" t="s">
        <v>342</v>
      </c>
      <c r="H268" s="396"/>
      <c r="I268" s="436"/>
      <c r="J268" s="436"/>
      <c r="K268" s="396">
        <v>4</v>
      </c>
      <c r="L268" s="38"/>
      <c r="M268" s="88"/>
      <c r="N268" s="88"/>
      <c r="O268" s="88"/>
      <c r="P268" s="88"/>
      <c r="Q268" s="88"/>
      <c r="R268" s="97"/>
      <c r="S268" s="93"/>
      <c r="T268" s="88"/>
      <c r="U268" s="93"/>
    </row>
    <row r="269" spans="2:21" ht="15.75">
      <c r="B269" s="1299"/>
      <c r="C269" s="409"/>
      <c r="D269" s="398" t="s">
        <v>10</v>
      </c>
      <c r="E269" s="394">
        <v>1959</v>
      </c>
      <c r="F269" s="395">
        <v>100</v>
      </c>
      <c r="G269" s="411" t="s">
        <v>365</v>
      </c>
      <c r="H269" s="396"/>
      <c r="I269" s="436"/>
      <c r="J269" s="436"/>
      <c r="K269" s="396">
        <v>2</v>
      </c>
      <c r="L269" s="38"/>
      <c r="M269" s="88"/>
      <c r="N269" s="88"/>
      <c r="O269" s="88"/>
      <c r="P269" s="88"/>
      <c r="Q269" s="88"/>
      <c r="R269" s="97"/>
      <c r="S269" s="93"/>
      <c r="T269" s="88"/>
      <c r="U269" s="93"/>
    </row>
    <row r="270" spans="2:21" ht="15.75">
      <c r="B270" s="1299"/>
      <c r="C270" s="409"/>
      <c r="D270" s="398" t="s">
        <v>13</v>
      </c>
      <c r="E270" s="394">
        <v>1959</v>
      </c>
      <c r="F270" s="395">
        <v>100</v>
      </c>
      <c r="G270" s="396"/>
      <c r="H270" s="396"/>
      <c r="I270" s="436"/>
      <c r="J270" s="436"/>
      <c r="K270" s="396">
        <v>4</v>
      </c>
      <c r="L270" s="38"/>
      <c r="M270" s="88"/>
      <c r="N270" s="88"/>
      <c r="O270" s="88"/>
      <c r="P270" s="88"/>
      <c r="Q270" s="88"/>
      <c r="R270" s="97"/>
      <c r="S270" s="93"/>
      <c r="T270" s="88"/>
      <c r="U270" s="93"/>
    </row>
    <row r="271" spans="2:21" ht="15.75">
      <c r="B271" s="1299"/>
      <c r="C271" s="409"/>
      <c r="D271" s="398" t="s">
        <v>364</v>
      </c>
      <c r="E271" s="36"/>
      <c r="F271" s="395"/>
      <c r="G271" s="396"/>
      <c r="H271" s="396"/>
      <c r="I271" s="436"/>
      <c r="J271" s="436"/>
      <c r="K271" s="396">
        <v>14</v>
      </c>
      <c r="L271" s="38"/>
      <c r="M271" s="88"/>
      <c r="N271" s="88"/>
      <c r="O271" s="88"/>
      <c r="P271" s="88"/>
      <c r="Q271" s="88"/>
      <c r="R271" s="97"/>
      <c r="S271" s="93"/>
      <c r="T271" s="88"/>
      <c r="U271" s="93"/>
    </row>
    <row r="272" spans="2:21" ht="15.75">
      <c r="B272" s="1299"/>
      <c r="C272" s="409"/>
      <c r="D272" s="398" t="s">
        <v>339</v>
      </c>
      <c r="E272" s="36"/>
      <c r="F272" s="37"/>
      <c r="G272" s="396" t="s">
        <v>357</v>
      </c>
      <c r="H272" s="38"/>
      <c r="I272" s="436"/>
      <c r="J272" s="436"/>
      <c r="K272" s="396"/>
      <c r="L272" s="38"/>
      <c r="M272" s="88"/>
      <c r="N272" s="88"/>
      <c r="O272" s="88"/>
      <c r="P272" s="88"/>
      <c r="Q272" s="88"/>
      <c r="R272" s="97"/>
      <c r="S272" s="93"/>
      <c r="T272" s="88"/>
      <c r="U272" s="93"/>
    </row>
    <row r="273" spans="2:21" ht="31.5">
      <c r="B273" s="1299"/>
      <c r="C273" s="409" t="s">
        <v>294</v>
      </c>
      <c r="D273" s="398"/>
      <c r="E273" s="168"/>
      <c r="F273" s="37"/>
      <c r="G273" s="121"/>
      <c r="H273" s="388"/>
      <c r="I273" s="442"/>
      <c r="J273" s="442"/>
      <c r="K273" s="396"/>
      <c r="L273" s="38"/>
      <c r="M273" s="88"/>
      <c r="N273" s="88"/>
      <c r="O273" s="88"/>
      <c r="P273" s="88"/>
      <c r="Q273" s="88"/>
      <c r="R273" s="97"/>
      <c r="S273" s="93"/>
      <c r="T273" s="88"/>
      <c r="U273" s="93"/>
    </row>
    <row r="274" spans="2:21" ht="15.75">
      <c r="B274" s="1299"/>
      <c r="C274" s="409"/>
      <c r="D274" s="398" t="s">
        <v>339</v>
      </c>
      <c r="E274" s="168"/>
      <c r="F274" s="37"/>
      <c r="G274" s="411" t="s">
        <v>358</v>
      </c>
      <c r="H274" s="388"/>
      <c r="I274" s="442"/>
      <c r="J274" s="442"/>
      <c r="K274" s="396"/>
      <c r="L274" s="38"/>
      <c r="M274" s="88"/>
      <c r="N274" s="88"/>
      <c r="O274" s="88"/>
      <c r="P274" s="88"/>
      <c r="Q274" s="88"/>
      <c r="R274" s="97"/>
      <c r="S274" s="93"/>
      <c r="T274" s="88"/>
      <c r="U274" s="93"/>
    </row>
    <row r="275" spans="2:21" ht="15.75">
      <c r="B275" s="1299"/>
      <c r="C275" s="409" t="s">
        <v>295</v>
      </c>
      <c r="D275" s="398"/>
      <c r="E275" s="168"/>
      <c r="F275" s="37"/>
      <c r="G275" s="38"/>
      <c r="H275" s="38"/>
      <c r="I275" s="397"/>
      <c r="J275" s="397"/>
      <c r="K275" s="396"/>
      <c r="L275" s="38"/>
      <c r="M275" s="88"/>
      <c r="N275" s="88"/>
      <c r="O275" s="88"/>
      <c r="P275" s="88"/>
      <c r="Q275" s="88"/>
      <c r="R275" s="97"/>
      <c r="S275" s="93"/>
      <c r="T275" s="88"/>
      <c r="U275" s="93"/>
    </row>
    <row r="276" spans="2:21" ht="15.75">
      <c r="B276" s="1299"/>
      <c r="C276" s="409"/>
      <c r="D276" s="398" t="s">
        <v>438</v>
      </c>
      <c r="E276" s="407">
        <v>1962</v>
      </c>
      <c r="F276" s="395">
        <v>100</v>
      </c>
      <c r="G276" s="396" t="s">
        <v>342</v>
      </c>
      <c r="H276" s="38"/>
      <c r="I276" s="397"/>
      <c r="J276" s="397"/>
      <c r="K276" s="396">
        <v>1</v>
      </c>
      <c r="L276" s="38"/>
      <c r="M276" s="88"/>
      <c r="N276" s="88"/>
      <c r="O276" s="88"/>
      <c r="P276" s="88"/>
      <c r="Q276" s="88"/>
      <c r="R276" s="97"/>
      <c r="S276" s="93"/>
      <c r="T276" s="88"/>
      <c r="U276" s="93"/>
    </row>
    <row r="277" spans="2:21" ht="15.75">
      <c r="B277" s="1299"/>
      <c r="C277" s="409"/>
      <c r="D277" s="398" t="s">
        <v>10</v>
      </c>
      <c r="E277" s="407">
        <v>1962</v>
      </c>
      <c r="F277" s="395">
        <v>100</v>
      </c>
      <c r="G277" s="411" t="s">
        <v>366</v>
      </c>
      <c r="H277" s="38"/>
      <c r="I277" s="397"/>
      <c r="J277" s="397"/>
      <c r="K277" s="396">
        <v>1</v>
      </c>
      <c r="L277" s="38"/>
      <c r="M277" s="88"/>
      <c r="N277" s="88"/>
      <c r="O277" s="88"/>
      <c r="P277" s="88"/>
      <c r="Q277" s="88"/>
      <c r="R277" s="97"/>
      <c r="S277" s="93"/>
      <c r="T277" s="88"/>
      <c r="U277" s="93"/>
    </row>
    <row r="278" spans="2:21" ht="15.75">
      <c r="B278" s="1299"/>
      <c r="C278" s="409"/>
      <c r="D278" s="398" t="s">
        <v>16</v>
      </c>
      <c r="E278" s="407">
        <v>1970</v>
      </c>
      <c r="F278" s="395">
        <v>100</v>
      </c>
      <c r="G278" s="411"/>
      <c r="H278" s="38"/>
      <c r="I278" s="397"/>
      <c r="J278" s="397"/>
      <c r="K278" s="396">
        <v>1</v>
      </c>
      <c r="L278" s="38"/>
      <c r="M278" s="88"/>
      <c r="N278" s="88"/>
      <c r="O278" s="88"/>
      <c r="P278" s="88"/>
      <c r="Q278" s="88"/>
      <c r="R278" s="97"/>
      <c r="S278" s="93"/>
      <c r="T278" s="88"/>
      <c r="U278" s="93"/>
    </row>
    <row r="279" spans="2:21" ht="15.75" customHeight="1">
      <c r="B279" s="1299"/>
      <c r="C279" s="409"/>
      <c r="D279" s="398" t="s">
        <v>362</v>
      </c>
      <c r="E279" s="407"/>
      <c r="F279" s="395"/>
      <c r="G279" s="396"/>
      <c r="H279" s="38"/>
      <c r="I279" s="397"/>
      <c r="J279" s="397"/>
      <c r="K279" s="396">
        <v>4</v>
      </c>
      <c r="L279" s="38"/>
      <c r="M279" s="88"/>
      <c r="N279" s="88"/>
      <c r="O279" s="88"/>
      <c r="P279" s="88"/>
      <c r="Q279" s="88"/>
      <c r="R279" s="97"/>
      <c r="S279" s="93"/>
      <c r="T279" s="88"/>
      <c r="U279" s="93"/>
    </row>
    <row r="280" spans="2:21" ht="15.75">
      <c r="B280" s="1299"/>
      <c r="C280" s="409"/>
      <c r="D280" s="398" t="s">
        <v>339</v>
      </c>
      <c r="E280" s="407"/>
      <c r="F280" s="395"/>
      <c r="G280" s="396" t="s">
        <v>358</v>
      </c>
      <c r="H280" s="38"/>
      <c r="I280" s="397"/>
      <c r="J280" s="397"/>
      <c r="K280" s="396"/>
      <c r="L280" s="38"/>
      <c r="M280" s="88"/>
      <c r="N280" s="88"/>
      <c r="O280" s="88"/>
      <c r="P280" s="88"/>
      <c r="Q280" s="88"/>
      <c r="R280" s="97"/>
      <c r="S280" s="93"/>
      <c r="T280" s="88"/>
      <c r="U280" s="93"/>
    </row>
    <row r="281" spans="2:21" ht="15.75">
      <c r="B281" s="1299"/>
      <c r="C281" s="409" t="s">
        <v>296</v>
      </c>
      <c r="D281" s="398"/>
      <c r="E281" s="407"/>
      <c r="F281" s="395"/>
      <c r="G281" s="396"/>
      <c r="H281" s="38"/>
      <c r="I281" s="397"/>
      <c r="J281" s="397"/>
      <c r="K281" s="396"/>
      <c r="L281" s="38"/>
      <c r="M281" s="88"/>
      <c r="N281" s="88"/>
      <c r="O281" s="88"/>
      <c r="P281" s="88"/>
      <c r="Q281" s="88"/>
      <c r="R281" s="97"/>
      <c r="S281" s="93"/>
      <c r="T281" s="88"/>
      <c r="U281" s="93"/>
    </row>
    <row r="282" spans="2:21" ht="15.75">
      <c r="B282" s="1299"/>
      <c r="C282" s="409"/>
      <c r="D282" s="398" t="s">
        <v>438</v>
      </c>
      <c r="E282" s="394">
        <v>1970</v>
      </c>
      <c r="F282" s="395">
        <v>100</v>
      </c>
      <c r="G282" s="396" t="s">
        <v>349</v>
      </c>
      <c r="H282" s="38"/>
      <c r="I282" s="396"/>
      <c r="J282" s="396"/>
      <c r="K282" s="396">
        <v>2</v>
      </c>
      <c r="L282" s="38"/>
      <c r="M282" s="88"/>
      <c r="N282" s="88"/>
      <c r="O282" s="88"/>
      <c r="P282" s="88"/>
      <c r="Q282" s="88"/>
      <c r="R282" s="97"/>
      <c r="S282" s="93"/>
      <c r="T282" s="88"/>
      <c r="U282" s="93"/>
    </row>
    <row r="283" spans="2:21" ht="34.5" customHeight="1">
      <c r="B283" s="1299"/>
      <c r="C283" s="122"/>
      <c r="D283" s="441" t="s">
        <v>10</v>
      </c>
      <c r="E283" s="394">
        <v>1970</v>
      </c>
      <c r="F283" s="395">
        <v>100</v>
      </c>
      <c r="G283" s="411" t="s">
        <v>499</v>
      </c>
      <c r="H283" s="396"/>
      <c r="I283" s="396"/>
      <c r="J283" s="396"/>
      <c r="K283" s="396">
        <v>1</v>
      </c>
      <c r="L283" s="396"/>
      <c r="M283" s="88"/>
      <c r="N283" s="88"/>
      <c r="O283" s="88"/>
      <c r="P283" s="88"/>
      <c r="Q283" s="88"/>
      <c r="R283" s="97"/>
      <c r="S283" s="93"/>
      <c r="T283" s="88"/>
      <c r="U283" s="93"/>
    </row>
    <row r="284" spans="2:21">
      <c r="B284" s="1299"/>
      <c r="C284" s="122"/>
      <c r="D284" s="441" t="s">
        <v>16</v>
      </c>
      <c r="E284" s="394">
        <v>1981</v>
      </c>
      <c r="F284" s="395">
        <v>100</v>
      </c>
      <c r="G284" s="396"/>
      <c r="H284" s="396"/>
      <c r="I284" s="396"/>
      <c r="J284" s="396"/>
      <c r="K284" s="396">
        <v>1</v>
      </c>
      <c r="L284" s="396"/>
      <c r="M284" s="88"/>
      <c r="N284" s="88"/>
      <c r="O284" s="88"/>
      <c r="P284" s="88"/>
      <c r="Q284" s="88"/>
      <c r="R284" s="97"/>
      <c r="S284" s="93"/>
      <c r="T284" s="88"/>
      <c r="U284" s="93"/>
    </row>
    <row r="285" spans="2:21">
      <c r="B285" s="1299"/>
      <c r="C285" s="560"/>
      <c r="D285" s="561" t="s">
        <v>353</v>
      </c>
      <c r="E285" s="562"/>
      <c r="F285" s="563"/>
      <c r="G285" s="564"/>
      <c r="H285" s="564"/>
      <c r="I285" s="564"/>
      <c r="J285" s="564"/>
      <c r="K285" s="564">
        <v>2</v>
      </c>
      <c r="L285" s="564"/>
      <c r="M285" s="88"/>
      <c r="N285" s="88"/>
      <c r="O285" s="88"/>
      <c r="P285" s="88"/>
      <c r="Q285" s="88"/>
      <c r="R285" s="97"/>
      <c r="S285" s="93"/>
      <c r="T285" s="88"/>
      <c r="U285" s="93"/>
    </row>
    <row r="286" spans="2:21">
      <c r="B286" s="565"/>
      <c r="C286" s="441"/>
      <c r="D286" s="441" t="s">
        <v>339</v>
      </c>
      <c r="E286" s="394"/>
      <c r="F286" s="395"/>
      <c r="G286" s="396" t="s">
        <v>358</v>
      </c>
      <c r="H286" s="396"/>
      <c r="I286" s="396"/>
      <c r="J286" s="396"/>
      <c r="K286" s="396"/>
      <c r="L286" s="396"/>
      <c r="M286" s="88"/>
      <c r="N286" s="88"/>
      <c r="O286" s="88"/>
      <c r="P286" s="88"/>
      <c r="Q286" s="88"/>
      <c r="R286" s="97"/>
      <c r="S286" s="93"/>
      <c r="T286" s="88"/>
      <c r="U286" s="93"/>
    </row>
    <row r="287" spans="2:21">
      <c r="B287" s="419"/>
      <c r="C287" s="420"/>
      <c r="D287" s="420"/>
      <c r="E287" s="421"/>
      <c r="F287" s="422"/>
      <c r="G287" s="424"/>
      <c r="H287" s="425"/>
      <c r="I287" s="425"/>
      <c r="J287" s="425"/>
      <c r="K287" s="423"/>
      <c r="L287" s="423"/>
      <c r="M287" s="88"/>
      <c r="N287" s="88"/>
      <c r="O287" s="88"/>
      <c r="P287" s="88"/>
      <c r="Q287" s="88"/>
      <c r="R287" s="97"/>
      <c r="S287" s="93"/>
      <c r="T287" s="88"/>
      <c r="U287" s="93"/>
    </row>
    <row r="288" spans="2:21">
      <c r="B288" s="419"/>
      <c r="C288" s="420"/>
      <c r="D288" s="420"/>
      <c r="E288" s="421"/>
      <c r="F288" s="422"/>
      <c r="G288" s="423"/>
      <c r="H288" s="423"/>
      <c r="I288" s="423"/>
      <c r="J288" s="423"/>
      <c r="K288" s="423"/>
      <c r="L288" s="423"/>
      <c r="M288" s="88"/>
      <c r="N288" s="88"/>
      <c r="O288" s="88"/>
      <c r="P288" s="88"/>
      <c r="Q288" s="88"/>
      <c r="R288" s="97"/>
      <c r="S288" s="93"/>
      <c r="T288" s="88"/>
      <c r="U288" s="93"/>
    </row>
    <row r="289" spans="2:21">
      <c r="B289" s="419"/>
      <c r="C289" s="420"/>
      <c r="D289" s="420"/>
      <c r="E289" s="421"/>
      <c r="F289" s="422"/>
      <c r="G289" s="423"/>
      <c r="H289" s="423"/>
      <c r="I289" s="423"/>
      <c r="J289" s="423"/>
      <c r="K289" s="423"/>
      <c r="L289" s="423"/>
      <c r="M289" s="88"/>
      <c r="N289" s="88"/>
      <c r="O289" s="88"/>
      <c r="P289" s="88"/>
      <c r="Q289" s="88"/>
      <c r="R289" s="97"/>
      <c r="S289" s="93"/>
      <c r="T289" s="88"/>
      <c r="U289" s="93"/>
    </row>
    <row r="290" spans="2:21">
      <c r="B290" s="419"/>
      <c r="C290" s="420"/>
      <c r="D290" s="420"/>
      <c r="E290" s="421"/>
      <c r="F290" s="422"/>
      <c r="G290" s="423"/>
      <c r="H290" s="423"/>
      <c r="I290" s="423"/>
      <c r="J290" s="423"/>
      <c r="K290" s="423"/>
      <c r="L290" s="423"/>
      <c r="M290" s="88"/>
      <c r="N290" s="88"/>
      <c r="O290" s="88"/>
      <c r="P290" s="88"/>
      <c r="Q290" s="88"/>
      <c r="R290" s="97"/>
      <c r="S290" s="93"/>
      <c r="T290" s="88"/>
      <c r="U290" s="93"/>
    </row>
    <row r="291" spans="2:21">
      <c r="B291" s="419"/>
      <c r="C291" s="420"/>
      <c r="D291" s="420"/>
      <c r="E291" s="421"/>
      <c r="F291" s="422"/>
      <c r="G291" s="423"/>
      <c r="H291" s="423"/>
      <c r="I291" s="423"/>
      <c r="J291" s="423"/>
      <c r="K291" s="423"/>
      <c r="L291" s="423"/>
      <c r="M291" s="88"/>
      <c r="N291" s="88"/>
      <c r="O291" s="88"/>
      <c r="P291" s="88"/>
      <c r="Q291" s="88"/>
      <c r="R291" s="97"/>
      <c r="S291" s="93"/>
      <c r="T291" s="88"/>
      <c r="U291" s="93"/>
    </row>
    <row r="292" spans="2:21">
      <c r="B292" s="419"/>
      <c r="C292" s="420"/>
      <c r="D292" s="420"/>
      <c r="E292" s="421"/>
      <c r="F292" s="422"/>
      <c r="G292" s="423"/>
      <c r="H292" s="423"/>
      <c r="I292" s="423"/>
      <c r="J292" s="423"/>
      <c r="K292" s="423"/>
      <c r="L292" s="423"/>
      <c r="M292" s="88"/>
      <c r="N292" s="88"/>
      <c r="O292" s="88"/>
      <c r="P292" s="88"/>
      <c r="Q292" s="88"/>
      <c r="R292" s="97"/>
      <c r="S292" s="93"/>
      <c r="T292" s="88"/>
      <c r="U292" s="93"/>
    </row>
    <row r="293" spans="2:21">
      <c r="B293" s="419"/>
      <c r="C293" s="420"/>
      <c r="D293" s="420"/>
      <c r="E293" s="421"/>
      <c r="F293" s="422"/>
      <c r="G293" s="423"/>
      <c r="H293" s="423"/>
      <c r="I293" s="423"/>
      <c r="J293" s="423"/>
      <c r="K293" s="423"/>
      <c r="L293" s="423"/>
      <c r="M293" s="88"/>
      <c r="N293" s="88"/>
      <c r="O293" s="88"/>
      <c r="P293" s="88"/>
      <c r="Q293" s="88"/>
      <c r="R293" s="97"/>
      <c r="S293" s="93"/>
      <c r="T293" s="88"/>
      <c r="U293" s="93"/>
    </row>
    <row r="294" spans="2:21">
      <c r="B294" s="426"/>
      <c r="C294" s="420"/>
      <c r="D294" s="420"/>
      <c r="E294" s="421"/>
      <c r="F294" s="422"/>
      <c r="G294" s="423"/>
      <c r="H294" s="423"/>
      <c r="I294" s="423"/>
      <c r="J294" s="423"/>
      <c r="K294" s="423"/>
      <c r="L294" s="423"/>
      <c r="M294" s="88"/>
      <c r="N294" s="88"/>
      <c r="O294" s="88"/>
      <c r="P294" s="88"/>
      <c r="Q294" s="88"/>
      <c r="R294" s="97"/>
      <c r="S294" s="93"/>
      <c r="T294" s="88"/>
      <c r="U294" s="93"/>
    </row>
    <row r="295" spans="2:21">
      <c r="B295" s="419"/>
      <c r="C295" s="420"/>
      <c r="D295" s="420"/>
      <c r="E295" s="421"/>
      <c r="F295" s="422"/>
      <c r="G295" s="423"/>
      <c r="H295" s="423"/>
      <c r="I295" s="423"/>
      <c r="J295" s="423"/>
      <c r="K295" s="423"/>
      <c r="L295" s="423"/>
      <c r="M295" s="88"/>
      <c r="N295" s="88"/>
      <c r="O295" s="88"/>
      <c r="P295" s="88"/>
      <c r="Q295" s="88"/>
      <c r="R295" s="97"/>
      <c r="S295" s="93"/>
      <c r="T295" s="88"/>
      <c r="U295" s="93"/>
    </row>
    <row r="296" spans="2:21">
      <c r="B296" s="419"/>
      <c r="C296" s="420"/>
      <c r="D296" s="420"/>
      <c r="E296" s="421"/>
      <c r="F296" s="422"/>
      <c r="G296" s="423"/>
      <c r="H296" s="423"/>
      <c r="I296" s="423"/>
      <c r="J296" s="423"/>
      <c r="K296" s="423"/>
      <c r="L296" s="423"/>
      <c r="M296" s="88"/>
      <c r="N296" s="88"/>
      <c r="O296" s="88"/>
      <c r="P296" s="88"/>
      <c r="Q296" s="88"/>
      <c r="R296" s="97"/>
      <c r="S296" s="93"/>
      <c r="T296" s="88"/>
      <c r="U296" s="93"/>
    </row>
    <row r="297" spans="2:21">
      <c r="B297" s="419"/>
      <c r="C297" s="420"/>
      <c r="D297" s="420"/>
      <c r="E297" s="421"/>
      <c r="F297" s="422"/>
      <c r="G297" s="423"/>
      <c r="H297" s="423"/>
      <c r="I297" s="423"/>
      <c r="J297" s="423"/>
      <c r="K297" s="423"/>
      <c r="L297" s="423"/>
      <c r="M297" s="88"/>
      <c r="N297" s="88"/>
      <c r="O297" s="88"/>
      <c r="P297" s="88"/>
      <c r="Q297" s="88"/>
      <c r="R297" s="97"/>
      <c r="S297" s="93"/>
      <c r="T297" s="88"/>
      <c r="U297" s="93"/>
    </row>
    <row r="298" spans="2:21">
      <c r="B298" s="419"/>
      <c r="C298" s="420"/>
      <c r="D298" s="420"/>
      <c r="E298" s="421"/>
      <c r="F298" s="422"/>
      <c r="G298" s="423"/>
      <c r="H298" s="423"/>
      <c r="I298" s="423"/>
      <c r="J298" s="423"/>
      <c r="K298" s="423"/>
      <c r="L298" s="423"/>
      <c r="M298" s="88"/>
      <c r="N298" s="88"/>
      <c r="O298" s="88"/>
      <c r="P298" s="88"/>
      <c r="Q298" s="88"/>
      <c r="R298" s="97"/>
      <c r="S298" s="93"/>
      <c r="T298" s="88"/>
      <c r="U298" s="93"/>
    </row>
    <row r="299" spans="2:21">
      <c r="B299" s="419"/>
      <c r="C299" s="420"/>
      <c r="D299" s="420"/>
      <c r="E299" s="421"/>
      <c r="F299" s="422"/>
      <c r="G299" s="424"/>
      <c r="H299" s="423"/>
      <c r="I299" s="423"/>
      <c r="J299" s="423"/>
      <c r="K299" s="423"/>
      <c r="L299" s="423"/>
      <c r="M299" s="88"/>
      <c r="N299" s="88"/>
      <c r="O299" s="88"/>
      <c r="P299" s="88"/>
      <c r="Q299" s="88"/>
      <c r="R299" s="97"/>
      <c r="S299" s="93"/>
      <c r="T299" s="88"/>
      <c r="U299" s="93"/>
    </row>
    <row r="300" spans="2:21" ht="15" customHeight="1">
      <c r="B300" s="419"/>
      <c r="C300" s="420"/>
      <c r="D300" s="420"/>
      <c r="E300" s="421"/>
      <c r="F300" s="422"/>
      <c r="G300" s="423"/>
      <c r="H300" s="423"/>
      <c r="I300" s="423"/>
      <c r="J300" s="423"/>
      <c r="K300" s="423"/>
      <c r="L300" s="423"/>
      <c r="M300" s="88"/>
      <c r="N300" s="88"/>
      <c r="O300" s="88"/>
      <c r="P300" s="88"/>
      <c r="Q300" s="88"/>
      <c r="R300" s="97"/>
      <c r="S300" s="93"/>
      <c r="T300" s="88"/>
      <c r="U300" s="93"/>
    </row>
    <row r="301" spans="2:21">
      <c r="B301" s="419"/>
      <c r="C301" s="420"/>
      <c r="D301" s="420"/>
      <c r="E301" s="421"/>
      <c r="F301" s="422"/>
      <c r="G301" s="423"/>
      <c r="H301" s="423"/>
      <c r="I301" s="423"/>
      <c r="J301" s="423"/>
      <c r="K301" s="423"/>
      <c r="L301" s="423"/>
      <c r="M301" s="88"/>
      <c r="N301" s="88"/>
      <c r="O301" s="88"/>
      <c r="P301" s="88"/>
      <c r="Q301" s="88"/>
      <c r="R301" s="97"/>
      <c r="S301" s="93"/>
      <c r="T301" s="88"/>
      <c r="U301" s="93"/>
    </row>
    <row r="302" spans="2:21">
      <c r="B302" s="419"/>
      <c r="C302" s="420"/>
      <c r="D302" s="420"/>
      <c r="E302" s="421"/>
      <c r="F302" s="422"/>
      <c r="G302" s="424"/>
      <c r="H302" s="423"/>
      <c r="I302" s="423"/>
      <c r="J302" s="423"/>
      <c r="K302" s="423"/>
      <c r="L302" s="423"/>
      <c r="M302" s="88"/>
      <c r="N302" s="88"/>
      <c r="O302" s="88"/>
      <c r="P302" s="88"/>
      <c r="Q302" s="88"/>
      <c r="R302" s="97"/>
      <c r="S302" s="93"/>
      <c r="T302" s="88"/>
      <c r="U302" s="93"/>
    </row>
    <row r="303" spans="2:21">
      <c r="B303" s="18"/>
      <c r="C303" s="420"/>
      <c r="D303" s="420"/>
      <c r="E303" s="421"/>
      <c r="F303" s="422"/>
      <c r="G303" s="424"/>
      <c r="H303" s="423"/>
      <c r="I303" s="423"/>
      <c r="J303" s="423"/>
      <c r="K303" s="423"/>
      <c r="L303" s="423"/>
      <c r="M303" s="88"/>
      <c r="N303" s="88"/>
      <c r="O303" s="88"/>
      <c r="P303" s="88"/>
      <c r="Q303" s="88"/>
      <c r="R303" s="97"/>
      <c r="S303" s="93"/>
      <c r="T303" s="88"/>
      <c r="U303" s="93"/>
    </row>
    <row r="304" spans="2:21">
      <c r="B304" s="426"/>
      <c r="C304" s="420"/>
      <c r="D304" s="420"/>
      <c r="E304" s="421"/>
      <c r="F304" s="422"/>
      <c r="G304" s="424"/>
      <c r="H304" s="423"/>
      <c r="I304" s="423"/>
      <c r="J304" s="423"/>
      <c r="K304" s="423"/>
      <c r="L304" s="423"/>
      <c r="M304" s="88"/>
      <c r="N304" s="88"/>
      <c r="O304" s="88"/>
      <c r="P304" s="88"/>
      <c r="Q304" s="88"/>
      <c r="R304" s="97"/>
      <c r="S304" s="93"/>
      <c r="T304" s="88"/>
      <c r="U304" s="93"/>
    </row>
    <row r="305" spans="2:21">
      <c r="B305" s="426"/>
      <c r="C305" s="420"/>
      <c r="D305" s="420"/>
      <c r="E305" s="421"/>
      <c r="F305" s="422"/>
      <c r="G305" s="424"/>
      <c r="H305" s="423"/>
      <c r="I305" s="423"/>
      <c r="J305" s="423"/>
      <c r="K305" s="423"/>
      <c r="L305" s="423"/>
      <c r="M305" s="88"/>
      <c r="N305" s="88"/>
      <c r="O305" s="88"/>
      <c r="P305" s="88"/>
      <c r="Q305" s="88"/>
      <c r="R305" s="97"/>
      <c r="S305" s="93"/>
      <c r="T305" s="88"/>
      <c r="U305" s="93"/>
    </row>
    <row r="306" spans="2:21">
      <c r="B306" s="426"/>
      <c r="C306" s="420"/>
      <c r="D306" s="420"/>
      <c r="E306" s="421"/>
      <c r="F306" s="422"/>
      <c r="G306" s="423"/>
      <c r="H306" s="423"/>
      <c r="I306" s="423"/>
      <c r="J306" s="423"/>
      <c r="K306" s="423"/>
      <c r="L306" s="423"/>
      <c r="M306" s="88"/>
      <c r="N306" s="88"/>
      <c r="O306" s="88"/>
      <c r="P306" s="88"/>
      <c r="Q306" s="88"/>
      <c r="R306" s="97"/>
      <c r="S306" s="93"/>
      <c r="T306" s="88"/>
      <c r="U306" s="93"/>
    </row>
    <row r="307" spans="2:21">
      <c r="B307" s="426"/>
      <c r="C307" s="420"/>
      <c r="D307" s="420"/>
      <c r="E307" s="421"/>
      <c r="F307" s="422"/>
      <c r="G307" s="424"/>
      <c r="H307" s="423"/>
      <c r="I307" s="423"/>
      <c r="J307" s="423"/>
      <c r="K307" s="423"/>
      <c r="L307" s="423"/>
      <c r="M307" s="88"/>
      <c r="N307" s="88"/>
      <c r="O307" s="88"/>
      <c r="P307" s="88"/>
      <c r="Q307" s="88"/>
      <c r="R307" s="97"/>
      <c r="S307" s="93"/>
      <c r="T307" s="88"/>
      <c r="U307" s="93"/>
    </row>
    <row r="308" spans="2:21">
      <c r="B308" s="426"/>
      <c r="C308" s="420"/>
      <c r="D308" s="420"/>
      <c r="E308" s="421"/>
      <c r="F308" s="422"/>
      <c r="G308" s="423"/>
      <c r="H308" s="423"/>
      <c r="I308" s="423"/>
      <c r="J308" s="423"/>
      <c r="K308" s="423"/>
      <c r="L308" s="423"/>
      <c r="M308" s="88"/>
      <c r="U308" s="93"/>
    </row>
    <row r="309" spans="2:21">
      <c r="B309" s="426"/>
      <c r="C309" s="420"/>
      <c r="D309" s="420"/>
      <c r="E309" s="421"/>
      <c r="F309" s="422"/>
      <c r="G309" s="423"/>
      <c r="H309" s="423"/>
      <c r="I309" s="423"/>
      <c r="J309" s="423"/>
      <c r="K309" s="423"/>
      <c r="L309" s="423"/>
      <c r="M309" s="88"/>
      <c r="U309" s="93"/>
    </row>
    <row r="310" spans="2:21" ht="15.75" customHeight="1">
      <c r="B310" s="426"/>
      <c r="C310" s="420"/>
      <c r="D310" s="420"/>
      <c r="E310" s="421"/>
      <c r="F310" s="422"/>
      <c r="G310" s="424"/>
      <c r="H310" s="423"/>
      <c r="I310" s="423"/>
      <c r="J310" s="423"/>
      <c r="K310" s="423"/>
      <c r="L310" s="423"/>
      <c r="M310" s="88"/>
      <c r="U310" s="93"/>
    </row>
    <row r="311" spans="2:21" ht="15" customHeight="1">
      <c r="B311" s="426"/>
      <c r="C311" s="420"/>
      <c r="D311" s="420"/>
      <c r="E311" s="421"/>
      <c r="F311" s="422"/>
      <c r="G311" s="423"/>
      <c r="H311" s="423"/>
      <c r="I311" s="423"/>
      <c r="J311" s="423"/>
      <c r="K311" s="423"/>
      <c r="L311" s="423"/>
      <c r="M311" s="88"/>
      <c r="U311" s="93"/>
    </row>
    <row r="312" spans="2:21" ht="15" customHeight="1">
      <c r="B312" s="426"/>
      <c r="C312" s="420"/>
      <c r="D312" s="420"/>
      <c r="E312" s="421"/>
      <c r="F312" s="422"/>
      <c r="G312" s="424"/>
      <c r="H312" s="423"/>
      <c r="I312" s="423"/>
      <c r="J312" s="423"/>
      <c r="K312" s="423"/>
      <c r="L312" s="423"/>
      <c r="M312" s="88"/>
      <c r="U312" s="93"/>
    </row>
    <row r="313" spans="2:21">
      <c r="B313" s="426"/>
      <c r="C313" s="420"/>
      <c r="D313" s="420"/>
      <c r="E313" s="421"/>
      <c r="F313" s="422"/>
      <c r="G313" s="423"/>
      <c r="H313" s="423"/>
      <c r="I313" s="423"/>
      <c r="J313" s="423"/>
      <c r="K313" s="423"/>
      <c r="L313" s="423"/>
      <c r="M313" s="88"/>
      <c r="U313" s="93"/>
    </row>
    <row r="314" spans="2:21">
      <c r="B314" s="426"/>
      <c r="C314" s="420"/>
      <c r="D314" s="420"/>
      <c r="E314" s="421"/>
      <c r="F314" s="422"/>
      <c r="G314" s="423"/>
      <c r="H314" s="423"/>
      <c r="I314" s="423"/>
      <c r="J314" s="423"/>
      <c r="K314" s="423"/>
      <c r="L314" s="423"/>
      <c r="M314" s="88"/>
      <c r="U314" s="93"/>
    </row>
    <row r="315" spans="2:21">
      <c r="B315" s="419"/>
      <c r="C315" s="420"/>
      <c r="D315" s="420"/>
      <c r="E315" s="421"/>
      <c r="F315" s="422"/>
      <c r="G315" s="424"/>
      <c r="H315" s="423"/>
      <c r="I315" s="423"/>
      <c r="J315" s="423"/>
      <c r="K315" s="423"/>
      <c r="L315" s="423"/>
      <c r="M315" s="88"/>
      <c r="U315" s="93"/>
    </row>
    <row r="316" spans="2:21">
      <c r="B316" s="426"/>
      <c r="C316" s="420"/>
      <c r="D316" s="420"/>
      <c r="E316" s="421"/>
      <c r="F316" s="422"/>
      <c r="G316" s="423"/>
      <c r="H316" s="423"/>
      <c r="I316" s="423"/>
      <c r="J316" s="423"/>
      <c r="K316" s="423"/>
      <c r="L316" s="423"/>
      <c r="M316" s="88"/>
      <c r="U316" s="93"/>
    </row>
    <row r="317" spans="2:21">
      <c r="B317" s="426"/>
      <c r="C317" s="420"/>
      <c r="D317" s="420"/>
      <c r="E317" s="421"/>
      <c r="F317" s="422"/>
      <c r="G317" s="423"/>
      <c r="H317" s="423"/>
      <c r="I317" s="423"/>
      <c r="J317" s="423"/>
      <c r="K317" s="423"/>
      <c r="L317" s="423"/>
      <c r="M317" s="88"/>
      <c r="U317" s="93"/>
    </row>
    <row r="318" spans="2:21">
      <c r="B318" s="426"/>
      <c r="C318" s="420"/>
      <c r="D318" s="420"/>
      <c r="E318" s="421"/>
      <c r="F318" s="422"/>
      <c r="G318" s="423"/>
      <c r="H318" s="423"/>
      <c r="I318" s="423"/>
      <c r="J318" s="423"/>
      <c r="K318" s="423"/>
      <c r="L318" s="423"/>
      <c r="M318" s="88"/>
      <c r="U318" s="93"/>
    </row>
    <row r="319" spans="2:21">
      <c r="B319" s="426"/>
      <c r="C319" s="420"/>
      <c r="D319" s="420"/>
      <c r="E319" s="421"/>
      <c r="F319" s="422"/>
      <c r="G319" s="423"/>
      <c r="H319" s="423"/>
      <c r="I319" s="423"/>
      <c r="J319" s="423"/>
      <c r="K319" s="423"/>
      <c r="L319" s="423"/>
      <c r="M319" s="88"/>
      <c r="U319" s="93"/>
    </row>
    <row r="320" spans="2:21">
      <c r="B320" s="426"/>
      <c r="C320" s="420"/>
      <c r="D320" s="420"/>
      <c r="E320" s="421"/>
      <c r="F320" s="422"/>
      <c r="G320" s="423"/>
      <c r="H320" s="423"/>
      <c r="I320" s="423"/>
      <c r="J320" s="423"/>
      <c r="K320" s="423"/>
      <c r="L320" s="423"/>
      <c r="M320" s="88"/>
      <c r="U320" s="93"/>
    </row>
    <row r="321" spans="2:21">
      <c r="B321" s="426"/>
      <c r="C321" s="420"/>
      <c r="D321" s="420"/>
      <c r="E321" s="421"/>
      <c r="F321" s="422"/>
      <c r="G321" s="423"/>
      <c r="H321" s="423"/>
      <c r="I321" s="423"/>
      <c r="J321" s="423"/>
      <c r="K321" s="423"/>
      <c r="L321" s="423"/>
      <c r="M321" s="88"/>
      <c r="U321" s="93"/>
    </row>
    <row r="322" spans="2:21">
      <c r="B322" s="426"/>
      <c r="C322" s="420"/>
      <c r="D322" s="420"/>
      <c r="E322" s="421"/>
      <c r="F322" s="422"/>
      <c r="G322" s="423"/>
      <c r="H322" s="423"/>
      <c r="I322" s="423"/>
      <c r="J322" s="423"/>
      <c r="K322" s="423"/>
      <c r="L322" s="423"/>
      <c r="M322" s="88"/>
      <c r="U322" s="93"/>
    </row>
    <row r="323" spans="2:21">
      <c r="B323" s="426"/>
      <c r="C323" s="420"/>
      <c r="D323" s="420"/>
      <c r="E323" s="421"/>
      <c r="F323" s="422"/>
      <c r="G323" s="423"/>
      <c r="H323" s="423"/>
      <c r="I323" s="423"/>
      <c r="J323" s="423"/>
      <c r="K323" s="423"/>
      <c r="L323" s="423"/>
      <c r="M323" s="88"/>
      <c r="U323" s="93"/>
    </row>
    <row r="324" spans="2:21">
      <c r="B324" s="426"/>
      <c r="C324" s="420"/>
      <c r="D324" s="420"/>
      <c r="E324" s="421"/>
      <c r="F324" s="422"/>
      <c r="G324" s="423"/>
      <c r="H324" s="423"/>
      <c r="I324" s="423"/>
      <c r="J324" s="423"/>
      <c r="K324" s="423"/>
      <c r="L324" s="423"/>
      <c r="M324" s="88"/>
      <c r="U324" s="93"/>
    </row>
    <row r="325" spans="2:21">
      <c r="B325" s="426"/>
      <c r="C325" s="18"/>
      <c r="D325" s="405"/>
      <c r="E325" s="421"/>
      <c r="F325" s="422"/>
      <c r="G325" s="423"/>
      <c r="H325" s="423"/>
      <c r="I325" s="423"/>
      <c r="J325" s="423"/>
      <c r="K325" s="423"/>
      <c r="L325" s="423"/>
      <c r="M325" s="88"/>
      <c r="U325" s="93"/>
    </row>
    <row r="326" spans="2:21">
      <c r="B326" s="426"/>
      <c r="C326" s="18"/>
      <c r="D326" s="405"/>
      <c r="E326" s="421"/>
      <c r="F326" s="422"/>
      <c r="G326" s="423"/>
      <c r="H326" s="423"/>
      <c r="I326" s="423"/>
      <c r="J326" s="423"/>
      <c r="K326" s="423"/>
      <c r="L326" s="423"/>
      <c r="M326" s="88"/>
      <c r="U326" s="93"/>
    </row>
    <row r="327" spans="2:21" ht="15.75">
      <c r="B327" s="427"/>
      <c r="C327" s="420"/>
      <c r="D327" s="420"/>
      <c r="E327" s="421"/>
      <c r="F327" s="422"/>
      <c r="G327" s="424"/>
      <c r="H327" s="423"/>
      <c r="I327" s="423"/>
      <c r="J327" s="423"/>
      <c r="K327" s="423"/>
      <c r="L327" s="423"/>
      <c r="M327" s="88"/>
      <c r="U327" s="93"/>
    </row>
    <row r="328" spans="2:21" ht="15" customHeight="1">
      <c r="B328" s="419"/>
      <c r="C328" s="420"/>
      <c r="D328" s="420"/>
      <c r="E328" s="421"/>
      <c r="F328" s="422"/>
      <c r="G328" s="423"/>
      <c r="H328" s="423"/>
      <c r="I328" s="423"/>
      <c r="J328" s="423"/>
      <c r="K328" s="423"/>
      <c r="L328" s="423"/>
      <c r="M328" s="88"/>
      <c r="U328" s="93"/>
    </row>
    <row r="329" spans="2:21">
      <c r="B329" s="419"/>
      <c r="C329" s="420"/>
      <c r="D329" s="420"/>
      <c r="E329" s="421"/>
      <c r="F329" s="422"/>
      <c r="G329" s="423"/>
      <c r="H329" s="423"/>
      <c r="I329" s="423"/>
      <c r="J329" s="423"/>
      <c r="K329" s="423"/>
      <c r="L329" s="423"/>
      <c r="M329" s="88"/>
      <c r="U329" s="93"/>
    </row>
    <row r="330" spans="2:21">
      <c r="B330" s="419"/>
      <c r="C330" s="420"/>
      <c r="D330" s="420"/>
      <c r="E330" s="421"/>
      <c r="F330" s="422"/>
      <c r="G330" s="423"/>
      <c r="H330" s="423"/>
      <c r="I330" s="423"/>
      <c r="J330" s="423"/>
      <c r="K330" s="423"/>
      <c r="L330" s="423"/>
      <c r="M330" s="88"/>
      <c r="U330" s="93"/>
    </row>
    <row r="331" spans="2:21">
      <c r="B331" s="419"/>
      <c r="C331" s="420"/>
      <c r="D331" s="420"/>
      <c r="E331" s="421"/>
      <c r="F331" s="422"/>
      <c r="G331" s="423"/>
      <c r="H331" s="423"/>
      <c r="I331" s="423"/>
      <c r="J331" s="423"/>
      <c r="K331" s="423"/>
      <c r="L331" s="423"/>
    </row>
    <row r="332" spans="2:21">
      <c r="B332" s="419"/>
      <c r="C332" s="420"/>
      <c r="D332" s="420"/>
      <c r="E332" s="421"/>
      <c r="F332" s="422"/>
      <c r="G332" s="423"/>
      <c r="H332" s="423"/>
      <c r="I332" s="423"/>
      <c r="J332" s="423"/>
      <c r="K332" s="423"/>
      <c r="L332" s="423"/>
    </row>
    <row r="333" spans="2:21">
      <c r="B333" s="419"/>
      <c r="C333" s="420"/>
      <c r="D333" s="420"/>
      <c r="E333" s="421"/>
      <c r="F333" s="422"/>
      <c r="G333" s="423"/>
      <c r="H333" s="423"/>
      <c r="I333" s="423"/>
      <c r="J333" s="423"/>
      <c r="K333" s="423"/>
      <c r="L333" s="423"/>
    </row>
    <row r="334" spans="2:21" ht="15" customHeight="1">
      <c r="B334" s="419"/>
      <c r="C334" s="420"/>
      <c r="D334" s="420"/>
      <c r="E334" s="421"/>
      <c r="F334" s="422"/>
      <c r="G334" s="428"/>
      <c r="H334" s="423"/>
      <c r="I334" s="423"/>
      <c r="J334" s="423"/>
      <c r="K334" s="423"/>
      <c r="L334" s="423"/>
    </row>
    <row r="335" spans="2:21">
      <c r="B335" s="419"/>
      <c r="C335" s="420"/>
      <c r="D335" s="420"/>
      <c r="E335" s="421"/>
      <c r="F335" s="422"/>
      <c r="G335" s="424"/>
      <c r="H335" s="425"/>
      <c r="I335" s="425"/>
      <c r="J335" s="425"/>
      <c r="K335" s="423"/>
      <c r="L335" s="423"/>
    </row>
    <row r="336" spans="2:21">
      <c r="B336" s="419"/>
      <c r="C336" s="420"/>
      <c r="D336" s="420"/>
      <c r="E336" s="421"/>
      <c r="F336" s="422"/>
      <c r="G336" s="424"/>
      <c r="H336" s="425"/>
      <c r="I336" s="425"/>
      <c r="J336" s="425"/>
      <c r="K336" s="423"/>
      <c r="L336" s="423"/>
    </row>
    <row r="337" spans="2:12">
      <c r="B337" s="419"/>
      <c r="C337" s="420"/>
      <c r="D337" s="420"/>
      <c r="E337" s="421"/>
      <c r="F337" s="422"/>
      <c r="G337" s="424"/>
      <c r="H337" s="425"/>
      <c r="I337" s="425"/>
      <c r="J337" s="425"/>
      <c r="K337" s="423"/>
      <c r="L337" s="423"/>
    </row>
    <row r="338" spans="2:12" ht="15" customHeight="1">
      <c r="B338" s="419"/>
      <c r="C338" s="420"/>
      <c r="D338" s="420"/>
      <c r="E338" s="421"/>
      <c r="F338" s="422"/>
      <c r="G338" s="423"/>
      <c r="H338" s="423"/>
      <c r="I338" s="423"/>
      <c r="J338" s="423"/>
      <c r="K338" s="423"/>
      <c r="L338" s="423"/>
    </row>
    <row r="339" spans="2:12" ht="15" customHeight="1">
      <c r="B339" s="419"/>
      <c r="C339" s="420"/>
      <c r="D339" s="420"/>
      <c r="E339" s="421"/>
      <c r="F339" s="422"/>
      <c r="G339" s="423"/>
      <c r="H339" s="423"/>
      <c r="I339" s="423"/>
      <c r="J339" s="423"/>
      <c r="K339" s="423"/>
      <c r="L339" s="423"/>
    </row>
    <row r="340" spans="2:12">
      <c r="B340" s="419"/>
      <c r="C340" s="420"/>
      <c r="D340" s="420"/>
      <c r="E340" s="421"/>
      <c r="F340" s="422"/>
      <c r="G340" s="423"/>
      <c r="H340" s="423"/>
      <c r="I340" s="423"/>
      <c r="J340" s="423"/>
      <c r="K340" s="423"/>
      <c r="L340" s="423"/>
    </row>
    <row r="341" spans="2:12" ht="15.75" customHeight="1">
      <c r="B341" s="419"/>
      <c r="C341" s="18"/>
      <c r="D341" s="405"/>
      <c r="E341" s="421"/>
      <c r="F341" s="422"/>
      <c r="G341" s="423"/>
      <c r="H341" s="423"/>
      <c r="I341" s="423"/>
      <c r="J341" s="423"/>
      <c r="K341" s="423"/>
      <c r="L341" s="423"/>
    </row>
    <row r="342" spans="2:12" ht="78.75" customHeight="1">
      <c r="B342" s="419"/>
      <c r="C342" s="18"/>
      <c r="D342" s="405"/>
      <c r="E342" s="421"/>
      <c r="F342" s="422"/>
      <c r="G342" s="423"/>
      <c r="H342" s="423"/>
      <c r="I342" s="423"/>
      <c r="J342" s="423"/>
      <c r="K342" s="423"/>
      <c r="L342" s="423"/>
    </row>
    <row r="343" spans="2:12">
      <c r="B343" s="429"/>
      <c r="C343" s="18"/>
      <c r="D343" s="405"/>
      <c r="E343" s="18"/>
      <c r="F343" s="18"/>
      <c r="G343" s="18"/>
      <c r="H343" s="18"/>
      <c r="I343" s="18"/>
      <c r="J343" s="18"/>
      <c r="K343" s="18"/>
      <c r="L343" s="18"/>
    </row>
    <row r="344" spans="2:12">
      <c r="B344" s="18"/>
      <c r="C344" s="18"/>
      <c r="D344" s="405"/>
      <c r="E344" s="18"/>
      <c r="F344" s="18"/>
      <c r="G344" s="18"/>
      <c r="H344" s="18"/>
      <c r="I344" s="18"/>
      <c r="J344" s="18"/>
      <c r="K344" s="18"/>
      <c r="L344" s="18"/>
    </row>
    <row r="345" spans="2:12">
      <c r="B345" s="419"/>
      <c r="C345" s="420"/>
      <c r="D345" s="420"/>
      <c r="E345" s="421"/>
      <c r="F345" s="422"/>
      <c r="G345" s="423"/>
      <c r="H345" s="423"/>
      <c r="I345" s="423"/>
      <c r="J345" s="423"/>
      <c r="K345" s="423"/>
      <c r="L345" s="423"/>
    </row>
    <row r="346" spans="2:12">
      <c r="B346" s="419"/>
      <c r="C346" s="420"/>
      <c r="D346" s="420"/>
      <c r="E346" s="421"/>
      <c r="F346" s="422"/>
      <c r="G346" s="423"/>
      <c r="H346" s="423"/>
      <c r="I346" s="423"/>
      <c r="J346" s="423"/>
      <c r="K346" s="423"/>
      <c r="L346" s="423"/>
    </row>
    <row r="347" spans="2:12">
      <c r="B347" s="419"/>
      <c r="C347" s="420"/>
      <c r="D347" s="420"/>
      <c r="E347" s="421"/>
      <c r="F347" s="422"/>
      <c r="G347" s="423"/>
      <c r="H347" s="423"/>
      <c r="I347" s="423"/>
      <c r="J347" s="423"/>
      <c r="K347" s="423"/>
      <c r="L347" s="423"/>
    </row>
    <row r="348" spans="2:12">
      <c r="B348" s="419"/>
      <c r="C348" s="420"/>
      <c r="D348" s="420"/>
      <c r="E348" s="421"/>
      <c r="F348" s="422"/>
      <c r="G348" s="424"/>
      <c r="H348" s="423"/>
      <c r="I348" s="423"/>
      <c r="J348" s="423"/>
      <c r="K348" s="423"/>
      <c r="L348" s="423"/>
    </row>
    <row r="349" spans="2:12">
      <c r="B349" s="419"/>
      <c r="C349" s="420"/>
      <c r="D349" s="420"/>
      <c r="E349" s="421"/>
      <c r="F349" s="422"/>
      <c r="G349" s="424"/>
      <c r="H349" s="423"/>
      <c r="I349" s="423"/>
      <c r="J349" s="423"/>
      <c r="K349" s="423"/>
      <c r="L349" s="423"/>
    </row>
    <row r="350" spans="2:12">
      <c r="B350" s="419"/>
      <c r="C350" s="420"/>
      <c r="D350" s="420"/>
      <c r="E350" s="421"/>
      <c r="F350" s="422"/>
      <c r="G350" s="423"/>
      <c r="H350" s="423"/>
      <c r="I350" s="423"/>
      <c r="J350" s="423"/>
      <c r="K350" s="423"/>
      <c r="L350" s="423"/>
    </row>
    <row r="351" spans="2:12">
      <c r="B351" s="419"/>
      <c r="C351" s="420"/>
      <c r="D351" s="420"/>
      <c r="E351" s="421"/>
      <c r="F351" s="422"/>
      <c r="G351" s="423"/>
      <c r="H351" s="423"/>
      <c r="I351" s="423"/>
      <c r="J351" s="423"/>
      <c r="K351" s="423"/>
      <c r="L351" s="423"/>
    </row>
    <row r="352" spans="2:12">
      <c r="B352" s="419"/>
      <c r="C352" s="420"/>
      <c r="D352" s="420"/>
      <c r="E352" s="421"/>
      <c r="F352" s="422"/>
      <c r="G352" s="423"/>
      <c r="H352" s="423"/>
      <c r="I352" s="423"/>
      <c r="J352" s="423"/>
      <c r="K352" s="423"/>
      <c r="L352" s="423"/>
    </row>
    <row r="353" spans="2:12">
      <c r="B353" s="419"/>
      <c r="C353" s="420"/>
      <c r="D353" s="420"/>
      <c r="E353" s="421"/>
      <c r="F353" s="422"/>
      <c r="G353" s="423"/>
      <c r="H353" s="423"/>
      <c r="I353" s="423"/>
      <c r="J353" s="423"/>
      <c r="K353" s="423"/>
      <c r="L353" s="423"/>
    </row>
    <row r="354" spans="2:12" ht="15.75">
      <c r="B354" s="419"/>
      <c r="C354" s="420"/>
      <c r="D354" s="420"/>
      <c r="E354" s="430"/>
      <c r="F354" s="431"/>
      <c r="G354" s="432"/>
      <c r="H354" s="432"/>
      <c r="I354" s="432"/>
      <c r="J354" s="432"/>
      <c r="K354" s="432"/>
      <c r="L354" s="432"/>
    </row>
    <row r="355" spans="2:12">
      <c r="B355" s="419"/>
      <c r="C355" s="420"/>
      <c r="D355" s="420"/>
      <c r="E355" s="18"/>
      <c r="F355" s="18"/>
      <c r="G355" s="129"/>
      <c r="H355" s="129"/>
      <c r="I355" s="129"/>
      <c r="J355" s="129"/>
      <c r="K355" s="432"/>
      <c r="L355" s="432"/>
    </row>
    <row r="356" spans="2:12">
      <c r="B356" s="419"/>
      <c r="C356" s="420"/>
      <c r="D356" s="420"/>
      <c r="E356" s="18"/>
      <c r="F356" s="18"/>
      <c r="G356" s="129"/>
      <c r="H356" s="129"/>
      <c r="I356" s="129"/>
      <c r="J356" s="129"/>
      <c r="K356" s="432"/>
      <c r="L356" s="432"/>
    </row>
    <row r="357" spans="2:12">
      <c r="B357" s="419"/>
      <c r="C357" s="420"/>
      <c r="D357" s="420"/>
      <c r="E357" s="421"/>
      <c r="F357" s="422"/>
      <c r="G357" s="423"/>
      <c r="H357" s="423"/>
      <c r="I357" s="423"/>
      <c r="J357" s="423"/>
      <c r="K357" s="423"/>
      <c r="L357" s="423"/>
    </row>
    <row r="358" spans="2:12">
      <c r="B358" s="419"/>
      <c r="C358" s="420"/>
      <c r="D358" s="420"/>
      <c r="E358" s="431"/>
      <c r="F358" s="431"/>
      <c r="G358" s="432"/>
      <c r="H358" s="432"/>
      <c r="I358" s="432"/>
      <c r="J358" s="432"/>
      <c r="K358" s="432"/>
      <c r="L358" s="432"/>
    </row>
    <row r="359" spans="2:12">
      <c r="B359" s="419"/>
      <c r="C359" s="420"/>
      <c r="D359" s="420"/>
      <c r="E359" s="421"/>
      <c r="F359" s="422"/>
      <c r="G359" s="423"/>
      <c r="H359" s="423"/>
      <c r="I359" s="423"/>
      <c r="J359" s="423"/>
      <c r="K359" s="423"/>
      <c r="L359" s="423"/>
    </row>
    <row r="360" spans="2:12" ht="15.75">
      <c r="B360" s="433" t="s">
        <v>145</v>
      </c>
      <c r="C360" s="433"/>
      <c r="D360" s="434"/>
      <c r="E360" s="433"/>
      <c r="F360" s="433"/>
      <c r="G360" s="435"/>
      <c r="H360" s="435"/>
      <c r="I360" s="435"/>
      <c r="J360" s="435"/>
      <c r="K360" s="435">
        <f>SUM(K3:K359)</f>
        <v>1005</v>
      </c>
      <c r="L360" s="435">
        <f>SUM(L3:L359)</f>
        <v>1</v>
      </c>
    </row>
    <row r="361" spans="2:12">
      <c r="B361" s="11"/>
      <c r="K361" s="33"/>
    </row>
    <row r="362" spans="2:12">
      <c r="B362" s="11"/>
      <c r="K362" s="33"/>
    </row>
    <row r="363" spans="2:12">
      <c r="B363" s="11"/>
      <c r="K363" s="33"/>
    </row>
    <row r="364" spans="2:12">
      <c r="B364" s="11"/>
      <c r="K364" s="33"/>
    </row>
    <row r="365" spans="2:12">
      <c r="B365" s="11"/>
      <c r="K365" s="33"/>
    </row>
    <row r="366" spans="2:12">
      <c r="B366" s="11"/>
      <c r="K366" s="33"/>
    </row>
    <row r="367" spans="2:12">
      <c r="B367" s="11"/>
      <c r="K367" s="33"/>
    </row>
    <row r="368" spans="2:12">
      <c r="B368" s="11"/>
      <c r="K368" s="33"/>
    </row>
    <row r="369" spans="2:11">
      <c r="B369" s="11"/>
      <c r="K369" s="33"/>
    </row>
    <row r="370" spans="2:11">
      <c r="B370" s="11"/>
      <c r="K370" s="33"/>
    </row>
    <row r="371" spans="2:11">
      <c r="B371" s="11"/>
      <c r="K371" s="33"/>
    </row>
    <row r="372" spans="2:11">
      <c r="B372" s="11"/>
      <c r="K372" s="33"/>
    </row>
    <row r="373" spans="2:11">
      <c r="B373" s="11"/>
      <c r="K373" s="33"/>
    </row>
    <row r="374" spans="2:11">
      <c r="B374" s="11"/>
      <c r="K374" s="33"/>
    </row>
    <row r="375" spans="2:11">
      <c r="B375" s="11"/>
      <c r="K375" s="33"/>
    </row>
    <row r="376" spans="2:11">
      <c r="B376" s="11"/>
      <c r="K376" s="33"/>
    </row>
    <row r="377" spans="2:11">
      <c r="B377" s="11"/>
      <c r="K377" s="33"/>
    </row>
    <row r="378" spans="2:11">
      <c r="B378" s="11"/>
      <c r="K378" s="33"/>
    </row>
    <row r="379" spans="2:11">
      <c r="B379" s="11"/>
      <c r="K379" s="33"/>
    </row>
    <row r="380" spans="2:11">
      <c r="B380" s="11"/>
      <c r="K380" s="33"/>
    </row>
    <row r="381" spans="2:11">
      <c r="B381" s="11"/>
      <c r="K381" s="33"/>
    </row>
    <row r="382" spans="2:11">
      <c r="B382" s="11"/>
      <c r="K382" s="33"/>
    </row>
    <row r="383" spans="2:11">
      <c r="B383" s="11"/>
      <c r="K383" s="33"/>
    </row>
    <row r="384" spans="2:11">
      <c r="B384" s="11"/>
      <c r="K384" s="33"/>
    </row>
    <row r="385" spans="2:11">
      <c r="B385" s="11"/>
      <c r="K385" s="33"/>
    </row>
    <row r="386" spans="2:11">
      <c r="B386" s="11"/>
      <c r="K386" s="33"/>
    </row>
    <row r="387" spans="2:11">
      <c r="B387" s="11"/>
      <c r="K387" s="33"/>
    </row>
    <row r="388" spans="2:11">
      <c r="B388" s="11"/>
      <c r="K388" s="33"/>
    </row>
    <row r="389" spans="2:11">
      <c r="B389" s="11"/>
      <c r="K389" s="33"/>
    </row>
    <row r="390" spans="2:11">
      <c r="B390" s="11"/>
      <c r="K390" s="33"/>
    </row>
    <row r="391" spans="2:11">
      <c r="B391" s="11"/>
      <c r="K391" s="33"/>
    </row>
    <row r="392" spans="2:11">
      <c r="B392" s="11"/>
      <c r="K392" s="33"/>
    </row>
    <row r="393" spans="2:11">
      <c r="B393" s="11"/>
      <c r="K393" s="33"/>
    </row>
    <row r="394" spans="2:11">
      <c r="B394" s="11"/>
      <c r="K394" s="33"/>
    </row>
    <row r="395" spans="2:11">
      <c r="B395" s="11"/>
      <c r="K395" s="33"/>
    </row>
    <row r="396" spans="2:11">
      <c r="B396" s="11"/>
      <c r="K396" s="33"/>
    </row>
    <row r="397" spans="2:11">
      <c r="B397" s="11"/>
      <c r="K397" s="33"/>
    </row>
    <row r="398" spans="2:11">
      <c r="B398" s="11"/>
      <c r="K398" s="33"/>
    </row>
    <row r="399" spans="2:11">
      <c r="B399" s="11"/>
      <c r="K399" s="33"/>
    </row>
    <row r="400" spans="2:11">
      <c r="B400" s="11"/>
      <c r="K400" s="33"/>
    </row>
    <row r="401" spans="2:11">
      <c r="B401" s="11"/>
      <c r="K401" s="33"/>
    </row>
    <row r="402" spans="2:11">
      <c r="B402" s="11"/>
      <c r="K402" s="33"/>
    </row>
    <row r="403" spans="2:11">
      <c r="B403" s="11"/>
      <c r="K403" s="33"/>
    </row>
    <row r="404" spans="2:11">
      <c r="B404" s="11"/>
      <c r="K404" s="33"/>
    </row>
    <row r="405" spans="2:11">
      <c r="B405" s="11"/>
      <c r="K405" s="33"/>
    </row>
    <row r="406" spans="2:11">
      <c r="B406" s="11"/>
      <c r="K406" s="33"/>
    </row>
    <row r="407" spans="2:11">
      <c r="B407" s="11"/>
      <c r="K407" s="33"/>
    </row>
    <row r="408" spans="2:11">
      <c r="B408" s="11"/>
      <c r="K408" s="33"/>
    </row>
    <row r="409" spans="2:11">
      <c r="B409" s="11"/>
      <c r="K409" s="33"/>
    </row>
    <row r="410" spans="2:11">
      <c r="B410" s="11"/>
      <c r="K410" s="33"/>
    </row>
    <row r="411" spans="2:11">
      <c r="B411" s="11"/>
      <c r="K411" s="33"/>
    </row>
    <row r="412" spans="2:11">
      <c r="B412" s="11"/>
      <c r="K412" s="33"/>
    </row>
    <row r="413" spans="2:11">
      <c r="B413" s="11"/>
      <c r="K413" s="33"/>
    </row>
    <row r="414" spans="2:11">
      <c r="B414" s="11"/>
      <c r="K414" s="33"/>
    </row>
    <row r="415" spans="2:11">
      <c r="B415" s="11"/>
      <c r="K415" s="33"/>
    </row>
    <row r="416" spans="2:11">
      <c r="B416" s="11"/>
      <c r="K416" s="33"/>
    </row>
    <row r="417" spans="2:11">
      <c r="B417" s="11"/>
      <c r="K417" s="33"/>
    </row>
    <row r="418" spans="2:11">
      <c r="B418" s="11"/>
      <c r="K418" s="33"/>
    </row>
    <row r="419" spans="2:11">
      <c r="B419" s="11"/>
      <c r="K419" s="33"/>
    </row>
    <row r="420" spans="2:11">
      <c r="B420" s="11"/>
      <c r="K420" s="33"/>
    </row>
    <row r="421" spans="2:11">
      <c r="B421" s="11"/>
      <c r="K421" s="33"/>
    </row>
    <row r="422" spans="2:11">
      <c r="B422" s="11"/>
      <c r="K422" s="33"/>
    </row>
    <row r="423" spans="2:11">
      <c r="B423" s="11"/>
      <c r="K423" s="33"/>
    </row>
    <row r="424" spans="2:11">
      <c r="B424" s="11"/>
      <c r="K424" s="33"/>
    </row>
    <row r="425" spans="2:11">
      <c r="B425" s="11"/>
      <c r="K425" s="33"/>
    </row>
    <row r="426" spans="2:11">
      <c r="B426" s="11"/>
      <c r="K426" s="33"/>
    </row>
    <row r="427" spans="2:11">
      <c r="B427" s="11"/>
      <c r="K427" s="33"/>
    </row>
    <row r="428" spans="2:11">
      <c r="B428" s="11"/>
      <c r="K428" s="33"/>
    </row>
    <row r="429" spans="2:11">
      <c r="B429" s="11"/>
      <c r="K429" s="33"/>
    </row>
    <row r="430" spans="2:11">
      <c r="B430" s="11"/>
      <c r="K430" s="33"/>
    </row>
    <row r="431" spans="2:11">
      <c r="B431" s="11"/>
      <c r="K431" s="33"/>
    </row>
    <row r="432" spans="2:11">
      <c r="B432" s="11"/>
      <c r="K432" s="33"/>
    </row>
    <row r="433" spans="2:11">
      <c r="B433" s="11"/>
      <c r="K433" s="33"/>
    </row>
    <row r="434" spans="2:11">
      <c r="B434" s="11"/>
      <c r="K434" s="33"/>
    </row>
    <row r="435" spans="2:11">
      <c r="B435" s="11"/>
      <c r="K435" s="33"/>
    </row>
    <row r="436" spans="2:11">
      <c r="B436" s="11"/>
      <c r="K436" s="33"/>
    </row>
    <row r="437" spans="2:11">
      <c r="B437" s="11"/>
      <c r="K437" s="33"/>
    </row>
    <row r="438" spans="2:11">
      <c r="B438" s="11"/>
      <c r="K438" s="33"/>
    </row>
    <row r="439" spans="2:11">
      <c r="B439" s="11"/>
      <c r="K439" s="33"/>
    </row>
    <row r="440" spans="2:11">
      <c r="B440" s="11"/>
      <c r="K440" s="33"/>
    </row>
    <row r="441" spans="2:11">
      <c r="B441" s="11"/>
      <c r="K441" s="33"/>
    </row>
    <row r="442" spans="2:11">
      <c r="B442" s="11"/>
      <c r="K442" s="33"/>
    </row>
    <row r="443" spans="2:11">
      <c r="B443" s="11"/>
      <c r="K443" s="33"/>
    </row>
    <row r="444" spans="2:11">
      <c r="B444" s="11"/>
      <c r="K444" s="33"/>
    </row>
    <row r="445" spans="2:11">
      <c r="B445" s="11"/>
      <c r="K445" s="33"/>
    </row>
    <row r="446" spans="2:11">
      <c r="B446" s="11"/>
      <c r="K446" s="33"/>
    </row>
    <row r="447" spans="2:11">
      <c r="B447" s="11"/>
      <c r="K447" s="33"/>
    </row>
    <row r="448" spans="2:11">
      <c r="B448" s="11"/>
      <c r="K448" s="33"/>
    </row>
    <row r="449" spans="2:11">
      <c r="B449" s="11"/>
      <c r="K449" s="33"/>
    </row>
    <row r="450" spans="2:11">
      <c r="B450" s="11"/>
      <c r="K450" s="33"/>
    </row>
    <row r="451" spans="2:11">
      <c r="B451" s="11"/>
      <c r="K451" s="33"/>
    </row>
    <row r="452" spans="2:11">
      <c r="B452" s="11"/>
      <c r="K452" s="33"/>
    </row>
    <row r="453" spans="2:11">
      <c r="B453" s="11"/>
      <c r="K453" s="33"/>
    </row>
    <row r="454" spans="2:11">
      <c r="B454" s="11"/>
      <c r="K454" s="33"/>
    </row>
    <row r="455" spans="2:11">
      <c r="B455" s="11"/>
      <c r="K455" s="33"/>
    </row>
    <row r="456" spans="2:11">
      <c r="B456" s="11"/>
      <c r="K456" s="33"/>
    </row>
    <row r="457" spans="2:11">
      <c r="B457" s="11"/>
      <c r="K457" s="33"/>
    </row>
    <row r="458" spans="2:11">
      <c r="B458" s="11"/>
      <c r="K458" s="33"/>
    </row>
    <row r="459" spans="2:11">
      <c r="B459" s="11"/>
      <c r="K459" s="33"/>
    </row>
    <row r="460" spans="2:11">
      <c r="B460" s="11"/>
      <c r="K460" s="33"/>
    </row>
    <row r="461" spans="2:11">
      <c r="B461" s="11"/>
      <c r="K461" s="33"/>
    </row>
    <row r="462" spans="2:11">
      <c r="B462" s="11"/>
      <c r="K462" s="33"/>
    </row>
    <row r="463" spans="2:11">
      <c r="B463" s="11"/>
      <c r="K463" s="33"/>
    </row>
    <row r="464" spans="2:11">
      <c r="B464" s="11"/>
      <c r="K464" s="33"/>
    </row>
    <row r="465" spans="2:11">
      <c r="B465" s="11"/>
      <c r="K465" s="33"/>
    </row>
    <row r="466" spans="2:11">
      <c r="B466" s="11"/>
      <c r="K466" s="33"/>
    </row>
    <row r="467" spans="2:11">
      <c r="B467" s="11"/>
      <c r="K467" s="33"/>
    </row>
    <row r="468" spans="2:11">
      <c r="B468" s="11"/>
      <c r="K468" s="33"/>
    </row>
    <row r="469" spans="2:11">
      <c r="B469" s="11"/>
      <c r="K469" s="33"/>
    </row>
    <row r="470" spans="2:11">
      <c r="B470" s="11"/>
      <c r="K470" s="33"/>
    </row>
    <row r="471" spans="2:11">
      <c r="B471" s="11"/>
      <c r="K471" s="33"/>
    </row>
    <row r="472" spans="2:11">
      <c r="B472" s="11"/>
      <c r="K472" s="33"/>
    </row>
    <row r="473" spans="2:11">
      <c r="B473" s="11"/>
      <c r="K473" s="33"/>
    </row>
    <row r="474" spans="2:11">
      <c r="B474" s="11"/>
      <c r="K474" s="33"/>
    </row>
    <row r="475" spans="2:11">
      <c r="B475" s="11"/>
      <c r="K475" s="33"/>
    </row>
    <row r="476" spans="2:11">
      <c r="B476" s="11"/>
      <c r="K476" s="33"/>
    </row>
    <row r="477" spans="2:11">
      <c r="B477" s="11"/>
      <c r="K477" s="33"/>
    </row>
    <row r="478" spans="2:11">
      <c r="B478" s="11"/>
      <c r="K478" s="33"/>
    </row>
    <row r="479" spans="2:11">
      <c r="B479" s="11"/>
      <c r="K479" s="33"/>
    </row>
    <row r="480" spans="2:11">
      <c r="B480" s="11"/>
      <c r="K480" s="33"/>
    </row>
    <row r="481" spans="2:11">
      <c r="B481" s="11"/>
      <c r="K481" s="33"/>
    </row>
    <row r="482" spans="2:11">
      <c r="B482" s="11"/>
      <c r="K482" s="33"/>
    </row>
    <row r="483" spans="2:11">
      <c r="B483" s="11"/>
      <c r="K483" s="33"/>
    </row>
    <row r="484" spans="2:11">
      <c r="B484" s="11"/>
      <c r="K484" s="33"/>
    </row>
    <row r="485" spans="2:11">
      <c r="B485" s="11"/>
      <c r="K485" s="33"/>
    </row>
    <row r="486" spans="2:11">
      <c r="B486" s="11"/>
      <c r="K486" s="33"/>
    </row>
    <row r="487" spans="2:11">
      <c r="B487" s="11"/>
      <c r="K487" s="33"/>
    </row>
    <row r="488" spans="2:11">
      <c r="B488" s="11"/>
      <c r="K488" s="33"/>
    </row>
    <row r="489" spans="2:11">
      <c r="B489" s="11"/>
      <c r="K489" s="33"/>
    </row>
    <row r="490" spans="2:11">
      <c r="B490" s="11"/>
      <c r="K490" s="33"/>
    </row>
    <row r="491" spans="2:11">
      <c r="B491" s="11"/>
      <c r="K491" s="33"/>
    </row>
    <row r="492" spans="2:11">
      <c r="B492" s="11"/>
      <c r="K492" s="33"/>
    </row>
    <row r="493" spans="2:11">
      <c r="B493" s="11"/>
      <c r="K493" s="33"/>
    </row>
    <row r="494" spans="2:11">
      <c r="B494" s="11"/>
      <c r="K494" s="33"/>
    </row>
    <row r="495" spans="2:11">
      <c r="B495" s="11"/>
      <c r="K495" s="33"/>
    </row>
    <row r="496" spans="2:11">
      <c r="B496" s="11"/>
      <c r="K496" s="33"/>
    </row>
    <row r="497" spans="2:11">
      <c r="B497" s="11"/>
      <c r="K497" s="33"/>
    </row>
    <row r="498" spans="2:11">
      <c r="B498" s="11"/>
      <c r="K498" s="33"/>
    </row>
    <row r="499" spans="2:11">
      <c r="B499" s="11"/>
      <c r="K499" s="33"/>
    </row>
    <row r="500" spans="2:11">
      <c r="B500" s="11"/>
      <c r="K500" s="33"/>
    </row>
    <row r="501" spans="2:11">
      <c r="B501" s="11"/>
      <c r="K501" s="33"/>
    </row>
    <row r="502" spans="2:11">
      <c r="B502" s="11"/>
      <c r="K502" s="33"/>
    </row>
    <row r="503" spans="2:11">
      <c r="B503" s="11"/>
      <c r="K503" s="33"/>
    </row>
    <row r="504" spans="2:11">
      <c r="B504" s="11"/>
      <c r="K504" s="33"/>
    </row>
    <row r="505" spans="2:11">
      <c r="B505" s="11"/>
      <c r="K505" s="33"/>
    </row>
    <row r="506" spans="2:11">
      <c r="B506" s="11"/>
      <c r="K506" s="33"/>
    </row>
    <row r="507" spans="2:11">
      <c r="B507" s="11"/>
      <c r="K507" s="33"/>
    </row>
    <row r="508" spans="2:11">
      <c r="B508" s="11"/>
      <c r="K508" s="33"/>
    </row>
    <row r="509" spans="2:11">
      <c r="B509" s="11"/>
      <c r="K509" s="33"/>
    </row>
    <row r="510" spans="2:11">
      <c r="B510" s="11"/>
      <c r="K510" s="33"/>
    </row>
    <row r="511" spans="2:11">
      <c r="B511" s="11"/>
      <c r="K511" s="33"/>
    </row>
    <row r="512" spans="2:11">
      <c r="B512" s="11"/>
      <c r="K512" s="33"/>
    </row>
    <row r="513" spans="2:11">
      <c r="B513" s="11"/>
      <c r="K513" s="33"/>
    </row>
    <row r="514" spans="2:11">
      <c r="B514" s="11"/>
      <c r="K514" s="33"/>
    </row>
    <row r="515" spans="2:11">
      <c r="B515" s="11"/>
      <c r="K515" s="33"/>
    </row>
    <row r="516" spans="2:11">
      <c r="B516" s="11"/>
      <c r="K516" s="33"/>
    </row>
    <row r="517" spans="2:11">
      <c r="B517" s="11"/>
      <c r="K517" s="33"/>
    </row>
    <row r="518" spans="2:11">
      <c r="B518" s="11"/>
      <c r="K518" s="33"/>
    </row>
    <row r="519" spans="2:11">
      <c r="B519" s="11"/>
      <c r="K519" s="33"/>
    </row>
    <row r="520" spans="2:11">
      <c r="B520" s="11"/>
      <c r="K520" s="33"/>
    </row>
    <row r="521" spans="2:11">
      <c r="B521" s="11"/>
      <c r="K521" s="33"/>
    </row>
    <row r="522" spans="2:11">
      <c r="B522" s="11"/>
      <c r="K522" s="33"/>
    </row>
    <row r="523" spans="2:11">
      <c r="B523" s="11"/>
      <c r="K523" s="33"/>
    </row>
    <row r="524" spans="2:11">
      <c r="B524" s="11"/>
      <c r="K524" s="33"/>
    </row>
    <row r="525" spans="2:11">
      <c r="B525" s="244"/>
      <c r="K525" s="33"/>
    </row>
    <row r="526" spans="2:11">
      <c r="K526" s="33"/>
    </row>
    <row r="527" spans="2:11">
      <c r="K527" s="33"/>
    </row>
    <row r="528" spans="2:11">
      <c r="K528" s="33"/>
    </row>
    <row r="529" spans="11:11">
      <c r="K529" s="33"/>
    </row>
    <row r="530" spans="11:11">
      <c r="K530" s="33"/>
    </row>
    <row r="531" spans="11:11">
      <c r="K531" s="33"/>
    </row>
    <row r="532" spans="11:11">
      <c r="K532" s="33"/>
    </row>
    <row r="533" spans="11:11">
      <c r="K533" s="33"/>
    </row>
    <row r="534" spans="11:11">
      <c r="K534" s="33"/>
    </row>
    <row r="535" spans="11:11">
      <c r="K535" s="33"/>
    </row>
    <row r="536" spans="11:11">
      <c r="K536" s="33"/>
    </row>
    <row r="537" spans="11:11">
      <c r="K537" s="33"/>
    </row>
    <row r="538" spans="11:11">
      <c r="K538" s="33"/>
    </row>
    <row r="539" spans="11:11">
      <c r="K539" s="33"/>
    </row>
    <row r="540" spans="11:11">
      <c r="K540" s="33"/>
    </row>
    <row r="541" spans="11:11">
      <c r="K541" s="33"/>
    </row>
    <row r="542" spans="11:11">
      <c r="K542" s="33"/>
    </row>
    <row r="543" spans="11:11">
      <c r="K543" s="33"/>
    </row>
    <row r="544" spans="11:11">
      <c r="K544" s="33"/>
    </row>
    <row r="545" spans="11:11">
      <c r="K545" s="33"/>
    </row>
    <row r="546" spans="11:11">
      <c r="K546" s="33"/>
    </row>
    <row r="547" spans="11:11">
      <c r="K547" s="33"/>
    </row>
    <row r="548" spans="11:11">
      <c r="K548" s="33"/>
    </row>
    <row r="549" spans="11:11">
      <c r="K549" s="33"/>
    </row>
    <row r="550" spans="11:11">
      <c r="K550" s="33"/>
    </row>
    <row r="551" spans="11:11">
      <c r="K551" s="33"/>
    </row>
    <row r="552" spans="11:11">
      <c r="K552" s="33"/>
    </row>
    <row r="553" spans="11:11">
      <c r="K553" s="33"/>
    </row>
    <row r="554" spans="11:11">
      <c r="K554" s="33"/>
    </row>
    <row r="555" spans="11:11">
      <c r="K555" s="33"/>
    </row>
    <row r="556" spans="11:11">
      <c r="K556" s="33"/>
    </row>
    <row r="557" spans="11:11">
      <c r="K557" s="33"/>
    </row>
    <row r="558" spans="11:11">
      <c r="K558" s="33"/>
    </row>
    <row r="559" spans="11:11">
      <c r="K559" s="33"/>
    </row>
    <row r="560" spans="11:11">
      <c r="K560" s="33"/>
    </row>
    <row r="561" spans="11:11">
      <c r="K561" s="33"/>
    </row>
    <row r="562" spans="11:11">
      <c r="K562" s="33"/>
    </row>
    <row r="563" spans="11:11">
      <c r="K563" s="33"/>
    </row>
    <row r="564" spans="11:11">
      <c r="K564" s="33"/>
    </row>
    <row r="565" spans="11:11">
      <c r="K565" s="33"/>
    </row>
    <row r="566" spans="11:11">
      <c r="K566" s="33"/>
    </row>
    <row r="567" spans="11:11">
      <c r="K567" s="33"/>
    </row>
    <row r="568" spans="11:11">
      <c r="K568" s="33"/>
    </row>
    <row r="569" spans="11:11">
      <c r="K569" s="33"/>
    </row>
    <row r="570" spans="11:11">
      <c r="K570" s="33"/>
    </row>
    <row r="571" spans="11:11">
      <c r="K571" s="33"/>
    </row>
    <row r="572" spans="11:11">
      <c r="K572" s="33"/>
    </row>
    <row r="573" spans="11:11">
      <c r="K573" s="33"/>
    </row>
    <row r="574" spans="11:11">
      <c r="K574" s="33"/>
    </row>
    <row r="575" spans="11:11">
      <c r="K575" s="33"/>
    </row>
    <row r="576" spans="11:11">
      <c r="K576" s="33"/>
    </row>
    <row r="577" spans="11:11">
      <c r="K577" s="33"/>
    </row>
    <row r="578" spans="11:11">
      <c r="K578" s="33"/>
    </row>
    <row r="579" spans="11:11">
      <c r="K579" s="33"/>
    </row>
    <row r="580" spans="11:11">
      <c r="K580" s="33"/>
    </row>
    <row r="581" spans="11:11">
      <c r="K581" s="33"/>
    </row>
    <row r="582" spans="11:11">
      <c r="K582" s="33"/>
    </row>
    <row r="583" spans="11:11">
      <c r="K583" s="33"/>
    </row>
    <row r="584" spans="11:11">
      <c r="K584" s="33"/>
    </row>
    <row r="585" spans="11:11">
      <c r="K585" s="33"/>
    </row>
    <row r="586" spans="11:11">
      <c r="K586" s="33"/>
    </row>
    <row r="587" spans="11:11">
      <c r="K587" s="33"/>
    </row>
    <row r="588" spans="11:11">
      <c r="K588" s="33"/>
    </row>
    <row r="589" spans="11:11">
      <c r="K589" s="33"/>
    </row>
    <row r="590" spans="11:11">
      <c r="K590" s="33"/>
    </row>
    <row r="591" spans="11:11">
      <c r="K591" s="33"/>
    </row>
    <row r="592" spans="11:11">
      <c r="K592" s="33"/>
    </row>
    <row r="593" spans="11:11">
      <c r="K593" s="33"/>
    </row>
    <row r="594" spans="11:11">
      <c r="K594" s="33"/>
    </row>
    <row r="595" spans="11:11">
      <c r="K595" s="33"/>
    </row>
    <row r="596" spans="11:11">
      <c r="K596" s="33"/>
    </row>
    <row r="597" spans="11:11">
      <c r="K597" s="33"/>
    </row>
    <row r="598" spans="11:11">
      <c r="K598" s="33"/>
    </row>
    <row r="599" spans="11:11">
      <c r="K599" s="33"/>
    </row>
    <row r="600" spans="11:11">
      <c r="K600" s="33"/>
    </row>
    <row r="601" spans="11:11">
      <c r="K601" s="33"/>
    </row>
    <row r="602" spans="11:11">
      <c r="K602" s="33"/>
    </row>
    <row r="603" spans="11:11">
      <c r="K603" s="33"/>
    </row>
    <row r="604" spans="11:11">
      <c r="K604" s="33"/>
    </row>
    <row r="605" spans="11:11">
      <c r="K605" s="33"/>
    </row>
    <row r="606" spans="11:11">
      <c r="K606" s="33"/>
    </row>
    <row r="607" spans="11:11">
      <c r="K607" s="33"/>
    </row>
    <row r="608" spans="11:11">
      <c r="K608" s="33"/>
    </row>
    <row r="609" spans="11:11">
      <c r="K609" s="33"/>
    </row>
    <row r="610" spans="11:11">
      <c r="K610" s="33"/>
    </row>
    <row r="611" spans="11:11">
      <c r="K611" s="33"/>
    </row>
    <row r="612" spans="11:11">
      <c r="K612" s="33"/>
    </row>
    <row r="613" spans="11:11">
      <c r="K613" s="33"/>
    </row>
    <row r="614" spans="11:11">
      <c r="K614" s="33"/>
    </row>
    <row r="615" spans="11:11">
      <c r="K615" s="33"/>
    </row>
    <row r="616" spans="11:11">
      <c r="K616" s="33"/>
    </row>
    <row r="617" spans="11:11">
      <c r="K617" s="33"/>
    </row>
    <row r="618" spans="11:11">
      <c r="K618" s="33"/>
    </row>
    <row r="619" spans="11:11">
      <c r="K619" s="33"/>
    </row>
    <row r="620" spans="11:11">
      <c r="K620" s="33"/>
    </row>
    <row r="621" spans="11:11">
      <c r="K621" s="33"/>
    </row>
    <row r="622" spans="11:11">
      <c r="K622" s="33"/>
    </row>
    <row r="623" spans="11:11">
      <c r="K623" s="33"/>
    </row>
    <row r="624" spans="11:11">
      <c r="K624" s="33"/>
    </row>
    <row r="625" spans="11:11">
      <c r="K625" s="33"/>
    </row>
    <row r="626" spans="11:11">
      <c r="K626" s="33"/>
    </row>
    <row r="627" spans="11:11">
      <c r="K627" s="33"/>
    </row>
    <row r="628" spans="11:11">
      <c r="K628" s="33"/>
    </row>
    <row r="629" spans="11:11">
      <c r="K629" s="33"/>
    </row>
    <row r="630" spans="11:11">
      <c r="K630" s="33"/>
    </row>
    <row r="631" spans="11:11">
      <c r="K631" s="33"/>
    </row>
    <row r="632" spans="11:11">
      <c r="K632" s="33"/>
    </row>
    <row r="633" spans="11:11">
      <c r="K633" s="33"/>
    </row>
    <row r="634" spans="11:11">
      <c r="K634" s="33"/>
    </row>
    <row r="635" spans="11:11">
      <c r="K635" s="33"/>
    </row>
    <row r="636" spans="11:11">
      <c r="K636" s="33"/>
    </row>
    <row r="637" spans="11:11">
      <c r="K637" s="33"/>
    </row>
    <row r="638" spans="11:11">
      <c r="K638" s="33"/>
    </row>
    <row r="639" spans="11:11">
      <c r="K639" s="33"/>
    </row>
    <row r="640" spans="11:11">
      <c r="K640" s="33"/>
    </row>
    <row r="641" spans="11:11">
      <c r="K641" s="33"/>
    </row>
    <row r="642" spans="11:11">
      <c r="K642" s="33"/>
    </row>
    <row r="643" spans="11:11">
      <c r="K643" s="33"/>
    </row>
    <row r="644" spans="11:11">
      <c r="K644" s="33"/>
    </row>
    <row r="645" spans="11:11">
      <c r="K645" s="33"/>
    </row>
    <row r="646" spans="11:11">
      <c r="K646" s="33"/>
    </row>
    <row r="647" spans="11:11">
      <c r="K647" s="33"/>
    </row>
    <row r="648" spans="11:11">
      <c r="K648" s="33"/>
    </row>
    <row r="649" spans="11:11">
      <c r="K649" s="33"/>
    </row>
    <row r="650" spans="11:11">
      <c r="K650" s="33"/>
    </row>
    <row r="651" spans="11:11">
      <c r="K651" s="33"/>
    </row>
    <row r="652" spans="11:11">
      <c r="K652" s="33"/>
    </row>
    <row r="653" spans="11:11">
      <c r="K653" s="33"/>
    </row>
    <row r="654" spans="11:11">
      <c r="K654" s="33"/>
    </row>
    <row r="655" spans="11:11">
      <c r="K655" s="33"/>
    </row>
    <row r="656" spans="11:11">
      <c r="K656" s="33"/>
    </row>
    <row r="657" spans="11:11">
      <c r="K657" s="33"/>
    </row>
    <row r="658" spans="11:11">
      <c r="K658" s="33"/>
    </row>
    <row r="659" spans="11:11">
      <c r="K659" s="33"/>
    </row>
    <row r="660" spans="11:11">
      <c r="K660" s="33"/>
    </row>
    <row r="661" spans="11:11">
      <c r="K661" s="33"/>
    </row>
    <row r="662" spans="11:11">
      <c r="K662" s="33"/>
    </row>
    <row r="663" spans="11:11">
      <c r="K663" s="33"/>
    </row>
    <row r="664" spans="11:11">
      <c r="K664" s="33"/>
    </row>
    <row r="665" spans="11:11">
      <c r="K665" s="33"/>
    </row>
    <row r="666" spans="11:11">
      <c r="K666" s="33"/>
    </row>
    <row r="667" spans="11:11">
      <c r="K667" s="33"/>
    </row>
    <row r="668" spans="11:11">
      <c r="K668" s="33"/>
    </row>
    <row r="669" spans="11:11">
      <c r="K669" s="33"/>
    </row>
    <row r="670" spans="11:11">
      <c r="K670" s="33"/>
    </row>
    <row r="671" spans="11:11">
      <c r="K671" s="33"/>
    </row>
    <row r="672" spans="11:11">
      <c r="K672" s="33"/>
    </row>
  </sheetData>
  <autoFilter ref="D1:D672"/>
  <mergeCells count="13">
    <mergeCell ref="K16:K17"/>
    <mergeCell ref="B2:B25"/>
    <mergeCell ref="B149:B192"/>
    <mergeCell ref="B38:B62"/>
    <mergeCell ref="B261:B285"/>
    <mergeCell ref="B133:B148"/>
    <mergeCell ref="B240:B260"/>
    <mergeCell ref="B222:B239"/>
    <mergeCell ref="B193:B221"/>
    <mergeCell ref="B98:B119"/>
    <mergeCell ref="B63:B74"/>
    <mergeCell ref="B75:B97"/>
    <mergeCell ref="B120:B132"/>
  </mergeCells>
  <pageMargins left="0.7" right="0.7" top="0.75" bottom="0.75" header="0.3" footer="0.3"/>
  <pageSetup paperSize="9" scale="81" orientation="portrait" verticalDpi="0" r:id="rId1"/>
  <rowBreaks count="2" manualBreakCount="2">
    <brk id="62" max="11" man="1"/>
    <brk id="193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O262"/>
  <sheetViews>
    <sheetView zoomScaleSheetLayoutView="100" workbookViewId="0">
      <selection activeCell="A24" sqref="A24:XFD24"/>
    </sheetView>
  </sheetViews>
  <sheetFormatPr defaultRowHeight="15"/>
  <cols>
    <col min="2" max="2" width="21.28515625" customWidth="1"/>
    <col min="3" max="3" width="18.7109375" customWidth="1"/>
    <col min="4" max="4" width="15" customWidth="1"/>
    <col min="7" max="7" width="9.140625" customWidth="1"/>
    <col min="8" max="8" width="8.85546875" customWidth="1"/>
    <col min="9" max="9" width="12.5703125" customWidth="1"/>
  </cols>
  <sheetData>
    <row r="1" spans="2:15" ht="35.25" customHeight="1">
      <c r="B1" s="771" t="s">
        <v>200</v>
      </c>
      <c r="C1" s="390"/>
      <c r="D1" t="s">
        <v>557</v>
      </c>
      <c r="E1" s="389" t="s">
        <v>201</v>
      </c>
      <c r="F1" s="389" t="s">
        <v>202</v>
      </c>
      <c r="G1" s="391" t="s">
        <v>203</v>
      </c>
      <c r="H1" s="391" t="s">
        <v>204</v>
      </c>
      <c r="I1" s="393" t="s">
        <v>205</v>
      </c>
    </row>
    <row r="2" spans="2:15" ht="25.5" customHeight="1">
      <c r="B2" s="731"/>
      <c r="C2" s="789" t="s">
        <v>542</v>
      </c>
      <c r="D2" s="771"/>
      <c r="E2" s="389"/>
      <c r="F2" s="389"/>
      <c r="G2" s="391"/>
      <c r="H2" s="391"/>
      <c r="I2" s="393"/>
    </row>
    <row r="3" spans="2:15" ht="16.5" customHeight="1">
      <c r="B3" s="759" t="s">
        <v>302</v>
      </c>
      <c r="C3" s="775" t="s">
        <v>302</v>
      </c>
      <c r="D3" s="400" t="s">
        <v>403</v>
      </c>
      <c r="E3" s="394">
        <v>1987</v>
      </c>
      <c r="F3" s="395">
        <v>36</v>
      </c>
      <c r="G3" s="396">
        <v>120</v>
      </c>
      <c r="H3" s="396">
        <v>145</v>
      </c>
      <c r="I3" s="396">
        <v>42</v>
      </c>
      <c r="L3" t="s">
        <v>859</v>
      </c>
      <c r="M3" s="846">
        <f>H3+H4+H5+H13+H22+H24+H31+H33</f>
        <v>417</v>
      </c>
      <c r="N3" s="846">
        <f>G3+G4+G5+G13+G22+G24+G31+G33</f>
        <v>395</v>
      </c>
    </row>
    <row r="4" spans="2:15">
      <c r="B4" s="759" t="s">
        <v>302</v>
      </c>
      <c r="C4" s="775" t="s">
        <v>302</v>
      </c>
      <c r="D4" s="400" t="s">
        <v>404</v>
      </c>
      <c r="E4" s="394">
        <v>1959</v>
      </c>
      <c r="F4" s="395">
        <v>78</v>
      </c>
      <c r="G4" s="396">
        <v>65</v>
      </c>
      <c r="H4" s="396">
        <v>75</v>
      </c>
      <c r="I4" s="396">
        <v>22</v>
      </c>
      <c r="O4" s="748">
        <f>H3+H4+H5</f>
        <v>305</v>
      </c>
    </row>
    <row r="5" spans="2:15" ht="22.5" customHeight="1">
      <c r="B5" s="759" t="s">
        <v>302</v>
      </c>
      <c r="C5" s="775" t="s">
        <v>302</v>
      </c>
      <c r="D5" s="400" t="s">
        <v>405</v>
      </c>
      <c r="E5" s="394">
        <v>1965</v>
      </c>
      <c r="F5" s="395">
        <v>69</v>
      </c>
      <c r="G5" s="396">
        <v>75</v>
      </c>
      <c r="H5" s="396">
        <v>85</v>
      </c>
      <c r="I5" s="396">
        <v>22</v>
      </c>
      <c r="L5" t="s">
        <v>860</v>
      </c>
      <c r="M5">
        <v>1880</v>
      </c>
    </row>
    <row r="6" spans="2:15">
      <c r="B6" s="759" t="s">
        <v>302</v>
      </c>
      <c r="C6" s="776" t="s">
        <v>302</v>
      </c>
      <c r="D6" s="400" t="s">
        <v>406</v>
      </c>
      <c r="E6" s="394">
        <v>1969</v>
      </c>
      <c r="F6" s="395">
        <v>63</v>
      </c>
      <c r="G6" s="396">
        <v>655</v>
      </c>
      <c r="H6" s="396">
        <v>566</v>
      </c>
      <c r="I6" s="396">
        <v>61</v>
      </c>
    </row>
    <row r="7" spans="2:15">
      <c r="B7" s="759" t="s">
        <v>302</v>
      </c>
      <c r="C7" s="776" t="s">
        <v>302</v>
      </c>
      <c r="D7" s="400" t="s">
        <v>9</v>
      </c>
      <c r="E7" s="394">
        <v>1959</v>
      </c>
      <c r="F7" s="395">
        <v>78</v>
      </c>
      <c r="G7" s="396"/>
      <c r="H7" s="396"/>
      <c r="I7" s="396"/>
    </row>
    <row r="8" spans="2:15">
      <c r="B8" s="759" t="s">
        <v>302</v>
      </c>
      <c r="C8" s="776" t="s">
        <v>302</v>
      </c>
      <c r="D8" s="400" t="s">
        <v>407</v>
      </c>
      <c r="E8" s="394">
        <v>1981</v>
      </c>
      <c r="F8" s="395">
        <v>45</v>
      </c>
      <c r="G8" s="396">
        <v>784</v>
      </c>
      <c r="H8" s="396">
        <v>305</v>
      </c>
      <c r="I8" s="396">
        <v>48</v>
      </c>
      <c r="K8" t="s">
        <v>886</v>
      </c>
      <c r="L8" t="s">
        <v>887</v>
      </c>
      <c r="M8" s="748">
        <f>G6+G8+G9</f>
        <v>1631</v>
      </c>
    </row>
    <row r="9" spans="2:15">
      <c r="B9" s="759" t="s">
        <v>302</v>
      </c>
      <c r="C9" s="776" t="s">
        <v>302</v>
      </c>
      <c r="D9" s="400" t="s">
        <v>408</v>
      </c>
      <c r="E9" s="394">
        <v>1958</v>
      </c>
      <c r="F9" s="395">
        <v>80</v>
      </c>
      <c r="G9" s="396">
        <v>192</v>
      </c>
      <c r="H9" s="396">
        <v>189</v>
      </c>
      <c r="I9" s="396">
        <v>33</v>
      </c>
      <c r="K9" s="1005">
        <f>G6+G8+G9+G14+G16+G17+G19+G20+G21+G23+G26+G27+G28+G29+G30+G32+G34</f>
        <v>4601</v>
      </c>
      <c r="L9" s="1005">
        <f>H6+H8+H9+H14+H16+H17+H19+H20+H21+H23+H26+H27+H28+H29+H30+H32+H34</f>
        <v>1060</v>
      </c>
    </row>
    <row r="10" spans="2:15">
      <c r="B10" s="759" t="s">
        <v>302</v>
      </c>
      <c r="C10" s="776" t="s">
        <v>302</v>
      </c>
      <c r="D10" s="400" t="s">
        <v>9</v>
      </c>
      <c r="E10" s="394">
        <v>1968</v>
      </c>
      <c r="F10" s="395">
        <v>65</v>
      </c>
      <c r="G10" s="396"/>
      <c r="H10" s="396"/>
      <c r="I10" s="396"/>
    </row>
    <row r="11" spans="2:15" ht="17.25" customHeight="1">
      <c r="B11" s="759" t="s">
        <v>302</v>
      </c>
      <c r="C11" s="775" t="s">
        <v>302</v>
      </c>
      <c r="D11" s="400" t="s">
        <v>410</v>
      </c>
      <c r="E11" s="394">
        <v>1963</v>
      </c>
      <c r="F11" s="395">
        <v>72</v>
      </c>
      <c r="G11" s="396">
        <v>680</v>
      </c>
      <c r="H11" s="396"/>
      <c r="I11" s="396">
        <v>29</v>
      </c>
    </row>
    <row r="12" spans="2:15">
      <c r="B12" s="171" t="s">
        <v>299</v>
      </c>
      <c r="C12" s="777" t="s">
        <v>299</v>
      </c>
      <c r="D12" s="568" t="s">
        <v>9</v>
      </c>
      <c r="E12" s="394">
        <v>1970</v>
      </c>
      <c r="F12" s="395">
        <v>62</v>
      </c>
      <c r="G12" s="360"/>
      <c r="H12" s="360"/>
      <c r="I12" s="396"/>
      <c r="K12" s="748">
        <f>G6+G8</f>
        <v>1439</v>
      </c>
    </row>
    <row r="13" spans="2:15">
      <c r="B13" s="171" t="s">
        <v>299</v>
      </c>
      <c r="C13" s="778" t="s">
        <v>299</v>
      </c>
      <c r="D13" s="568" t="s">
        <v>11</v>
      </c>
      <c r="E13" s="394">
        <v>1965</v>
      </c>
      <c r="F13" s="395">
        <v>69</v>
      </c>
      <c r="G13" s="360">
        <v>40</v>
      </c>
      <c r="H13" s="360">
        <v>15</v>
      </c>
      <c r="I13" s="396">
        <v>11</v>
      </c>
    </row>
    <row r="14" spans="2:15">
      <c r="B14" s="171" t="s">
        <v>299</v>
      </c>
      <c r="C14" s="777" t="s">
        <v>299</v>
      </c>
      <c r="D14" s="568" t="s">
        <v>167</v>
      </c>
      <c r="E14" s="394">
        <v>1966</v>
      </c>
      <c r="F14" s="395">
        <v>68</v>
      </c>
      <c r="G14" s="360">
        <v>250</v>
      </c>
      <c r="H14" s="360"/>
      <c r="I14" s="396">
        <v>43</v>
      </c>
    </row>
    <row r="15" spans="2:15" ht="15.75">
      <c r="B15" s="785" t="s">
        <v>547</v>
      </c>
      <c r="C15" s="791" t="s">
        <v>258</v>
      </c>
      <c r="D15" s="569" t="s">
        <v>11</v>
      </c>
      <c r="E15" s="394">
        <v>1965</v>
      </c>
      <c r="F15" s="544">
        <v>100</v>
      </c>
      <c r="G15" s="396" t="s">
        <v>472</v>
      </c>
      <c r="H15" s="396"/>
      <c r="I15" s="38">
        <v>0</v>
      </c>
    </row>
    <row r="16" spans="2:15" ht="15.75">
      <c r="B16" s="785" t="s">
        <v>547</v>
      </c>
      <c r="C16" s="570" t="s">
        <v>258</v>
      </c>
      <c r="D16" s="569" t="s">
        <v>167</v>
      </c>
      <c r="E16" s="394">
        <v>1965</v>
      </c>
      <c r="F16" s="544">
        <v>69</v>
      </c>
      <c r="G16" s="396">
        <v>170</v>
      </c>
      <c r="H16" s="396"/>
      <c r="I16" s="396">
        <v>35</v>
      </c>
    </row>
    <row r="17" spans="2:9" ht="15.75">
      <c r="B17" s="785" t="s">
        <v>547</v>
      </c>
      <c r="C17" s="570" t="s">
        <v>260</v>
      </c>
      <c r="D17" s="569" t="s">
        <v>351</v>
      </c>
      <c r="E17" s="394">
        <v>1964</v>
      </c>
      <c r="F17" s="395">
        <v>71</v>
      </c>
      <c r="G17" s="396">
        <v>280</v>
      </c>
      <c r="H17" s="396"/>
      <c r="I17" s="396">
        <v>37</v>
      </c>
    </row>
    <row r="18" spans="2:9" ht="15" customHeight="1">
      <c r="B18" s="785" t="s">
        <v>548</v>
      </c>
      <c r="C18" s="570" t="s">
        <v>262</v>
      </c>
      <c r="D18" s="569" t="s">
        <v>9</v>
      </c>
      <c r="E18" s="407">
        <v>1968</v>
      </c>
      <c r="F18" s="395">
        <v>65</v>
      </c>
      <c r="G18" s="38"/>
      <c r="H18" s="38"/>
      <c r="I18" s="38"/>
    </row>
    <row r="19" spans="2:9" ht="15.75">
      <c r="B19" s="785" t="s">
        <v>548</v>
      </c>
      <c r="C19" s="570" t="s">
        <v>262</v>
      </c>
      <c r="D19" s="569" t="s">
        <v>167</v>
      </c>
      <c r="E19" s="407">
        <v>1970</v>
      </c>
      <c r="F19" s="395">
        <v>62</v>
      </c>
      <c r="G19" s="396">
        <v>160</v>
      </c>
      <c r="H19" s="396"/>
      <c r="I19" s="396">
        <v>27</v>
      </c>
    </row>
    <row r="20" spans="2:9" ht="15.75">
      <c r="B20" s="780" t="s">
        <v>549</v>
      </c>
      <c r="C20" s="570" t="s">
        <v>265</v>
      </c>
      <c r="D20" s="569" t="s">
        <v>351</v>
      </c>
      <c r="E20" s="394">
        <v>1968</v>
      </c>
      <c r="F20" s="395">
        <v>65</v>
      </c>
      <c r="G20" s="360">
        <v>192</v>
      </c>
      <c r="H20" s="360"/>
      <c r="I20" s="396">
        <v>20</v>
      </c>
    </row>
    <row r="21" spans="2:9" ht="31.5">
      <c r="B21" s="780" t="s">
        <v>550</v>
      </c>
      <c r="C21" s="570" t="s">
        <v>268</v>
      </c>
      <c r="D21" s="569" t="s">
        <v>167</v>
      </c>
      <c r="E21" s="407">
        <v>1971</v>
      </c>
      <c r="F21" s="395">
        <v>60</v>
      </c>
      <c r="G21" s="408">
        <v>192</v>
      </c>
      <c r="H21" s="408"/>
      <c r="I21" s="396">
        <v>20</v>
      </c>
    </row>
    <row r="22" spans="2:9" ht="15.75">
      <c r="B22" s="785" t="s">
        <v>551</v>
      </c>
      <c r="C22" s="791" t="s">
        <v>272</v>
      </c>
      <c r="D22" s="569" t="s">
        <v>11</v>
      </c>
      <c r="E22" s="394">
        <v>1983</v>
      </c>
      <c r="F22" s="395">
        <v>42</v>
      </c>
      <c r="G22" s="411" t="s">
        <v>504</v>
      </c>
      <c r="H22" s="411" t="s">
        <v>558</v>
      </c>
      <c r="I22" s="396">
        <v>11</v>
      </c>
    </row>
    <row r="23" spans="2:9" ht="15.75">
      <c r="B23" s="785" t="s">
        <v>551</v>
      </c>
      <c r="C23" s="570" t="s">
        <v>272</v>
      </c>
      <c r="D23" s="569" t="s">
        <v>167</v>
      </c>
      <c r="E23" s="394">
        <v>1971</v>
      </c>
      <c r="F23" s="395">
        <v>60</v>
      </c>
      <c r="G23" s="411" t="s">
        <v>505</v>
      </c>
      <c r="H23" s="411"/>
      <c r="I23" s="396">
        <v>23</v>
      </c>
    </row>
    <row r="24" spans="2:9" ht="15.75">
      <c r="B24" s="785" t="s">
        <v>551</v>
      </c>
      <c r="C24" s="791" t="s">
        <v>274</v>
      </c>
      <c r="D24" s="569" t="s">
        <v>11</v>
      </c>
      <c r="E24" s="394">
        <v>1968</v>
      </c>
      <c r="F24" s="395">
        <v>65</v>
      </c>
      <c r="G24" s="396">
        <v>25</v>
      </c>
      <c r="H24" s="396">
        <v>30</v>
      </c>
      <c r="I24" s="396">
        <v>13</v>
      </c>
    </row>
    <row r="25" spans="2:9" ht="15.75">
      <c r="B25" s="785" t="s">
        <v>551</v>
      </c>
      <c r="C25" s="570" t="s">
        <v>274</v>
      </c>
      <c r="D25" s="569" t="s">
        <v>9</v>
      </c>
      <c r="E25" s="394">
        <v>1968</v>
      </c>
      <c r="F25" s="395">
        <v>65</v>
      </c>
      <c r="G25" s="396"/>
      <c r="H25" s="396"/>
      <c r="I25" s="396"/>
    </row>
    <row r="26" spans="2:9" ht="15.75">
      <c r="B26" s="785" t="s">
        <v>551</v>
      </c>
      <c r="C26" s="570" t="s">
        <v>274</v>
      </c>
      <c r="D26" s="569" t="s">
        <v>351</v>
      </c>
      <c r="E26" s="394">
        <v>1958</v>
      </c>
      <c r="F26" s="395">
        <v>80</v>
      </c>
      <c r="G26" s="396">
        <v>200</v>
      </c>
      <c r="H26" s="396"/>
      <c r="I26" s="396">
        <v>24</v>
      </c>
    </row>
    <row r="27" spans="2:9" ht="15.75">
      <c r="B27" s="785" t="s">
        <v>551</v>
      </c>
      <c r="C27" s="570" t="s">
        <v>275</v>
      </c>
      <c r="D27" s="569" t="s">
        <v>167</v>
      </c>
      <c r="E27" s="394">
        <v>1981</v>
      </c>
      <c r="F27" s="395">
        <v>45</v>
      </c>
      <c r="G27" s="396">
        <v>290</v>
      </c>
      <c r="H27" s="396"/>
      <c r="I27" s="396">
        <v>20</v>
      </c>
    </row>
    <row r="28" spans="2:9" ht="47.25">
      <c r="B28" s="780" t="s">
        <v>556</v>
      </c>
      <c r="C28" s="570" t="s">
        <v>278</v>
      </c>
      <c r="D28" s="791" t="s">
        <v>560</v>
      </c>
      <c r="E28" s="407">
        <v>1968</v>
      </c>
      <c r="F28" s="395">
        <v>65</v>
      </c>
      <c r="G28" s="396">
        <v>120</v>
      </c>
      <c r="H28" s="396"/>
      <c r="I28" s="396">
        <v>29</v>
      </c>
    </row>
    <row r="29" spans="2:9" ht="15.75">
      <c r="B29" s="785" t="s">
        <v>553</v>
      </c>
      <c r="C29" s="570" t="s">
        <v>284</v>
      </c>
      <c r="D29" s="569" t="s">
        <v>167</v>
      </c>
      <c r="E29" s="394">
        <v>1995</v>
      </c>
      <c r="F29" s="395">
        <v>24</v>
      </c>
      <c r="G29" s="396">
        <v>130</v>
      </c>
      <c r="H29" s="396"/>
      <c r="I29" s="396">
        <v>30</v>
      </c>
    </row>
    <row r="30" spans="2:9" ht="38.25">
      <c r="B30" s="785" t="s">
        <v>553</v>
      </c>
      <c r="C30" s="570" t="s">
        <v>285</v>
      </c>
      <c r="D30" s="569" t="s">
        <v>559</v>
      </c>
      <c r="E30" s="407">
        <v>1962</v>
      </c>
      <c r="F30" s="395">
        <v>74</v>
      </c>
      <c r="G30" s="396">
        <v>150</v>
      </c>
      <c r="H30" s="396"/>
      <c r="I30" s="396">
        <v>12</v>
      </c>
    </row>
    <row r="31" spans="2:9" ht="15.75">
      <c r="B31" s="785" t="s">
        <v>554</v>
      </c>
      <c r="C31" s="791" t="s">
        <v>289</v>
      </c>
      <c r="D31" s="569" t="s">
        <v>11</v>
      </c>
      <c r="E31" s="407">
        <v>1968</v>
      </c>
      <c r="F31" s="395">
        <v>65</v>
      </c>
      <c r="G31" s="396">
        <v>20</v>
      </c>
      <c r="H31" s="396">
        <v>18</v>
      </c>
      <c r="I31" s="396">
        <v>10</v>
      </c>
    </row>
    <row r="32" spans="2:9" ht="15.75">
      <c r="B32" s="785" t="s">
        <v>554</v>
      </c>
      <c r="C32" s="570" t="s">
        <v>289</v>
      </c>
      <c r="D32" s="569" t="s">
        <v>167</v>
      </c>
      <c r="E32" s="407">
        <v>1994</v>
      </c>
      <c r="F32" s="395">
        <v>26</v>
      </c>
      <c r="G32" s="396">
        <v>324</v>
      </c>
      <c r="H32" s="396"/>
      <c r="I32" s="396">
        <v>35</v>
      </c>
    </row>
    <row r="33" spans="1:9" ht="15.75">
      <c r="B33" s="731" t="s">
        <v>555</v>
      </c>
      <c r="C33" s="791" t="s">
        <v>293</v>
      </c>
      <c r="D33" s="569" t="s">
        <v>11</v>
      </c>
      <c r="E33" s="394">
        <v>1987</v>
      </c>
      <c r="F33" s="395">
        <v>36</v>
      </c>
      <c r="G33" s="396">
        <v>25</v>
      </c>
      <c r="H33" s="396">
        <v>18</v>
      </c>
      <c r="I33" s="396">
        <v>10</v>
      </c>
    </row>
    <row r="34" spans="1:9" ht="15.75">
      <c r="B34" s="731" t="s">
        <v>555</v>
      </c>
      <c r="C34" s="570" t="s">
        <v>293</v>
      </c>
      <c r="D34" s="569" t="s">
        <v>167</v>
      </c>
      <c r="E34" s="394">
        <v>1962</v>
      </c>
      <c r="F34" s="395">
        <v>74</v>
      </c>
      <c r="G34" s="396">
        <v>192</v>
      </c>
      <c r="H34" s="396"/>
      <c r="I34" s="396">
        <v>22</v>
      </c>
    </row>
    <row r="36" spans="1:9">
      <c r="B36" s="790" t="s">
        <v>543</v>
      </c>
    </row>
    <row r="37" spans="1:9" ht="26.25">
      <c r="A37" s="780">
        <v>1</v>
      </c>
      <c r="B37" s="779" t="s">
        <v>302</v>
      </c>
      <c r="C37" s="779" t="s">
        <v>302</v>
      </c>
      <c r="D37" s="786" t="s">
        <v>545</v>
      </c>
      <c r="E37" s="394">
        <v>1961</v>
      </c>
      <c r="F37" s="395">
        <v>70</v>
      </c>
      <c r="G37" s="396">
        <v>380</v>
      </c>
      <c r="H37" s="396">
        <v>24</v>
      </c>
    </row>
    <row r="38" spans="1:9" ht="16.5">
      <c r="A38" s="780">
        <v>2</v>
      </c>
      <c r="B38" s="788" t="s">
        <v>299</v>
      </c>
      <c r="C38" s="782" t="s">
        <v>299</v>
      </c>
      <c r="D38" s="787" t="s">
        <v>434</v>
      </c>
      <c r="E38" s="394">
        <v>1975</v>
      </c>
      <c r="F38" s="395">
        <v>80</v>
      </c>
      <c r="G38" s="297">
        <v>130</v>
      </c>
      <c r="H38" s="396">
        <v>7</v>
      </c>
      <c r="I38" s="88"/>
    </row>
    <row r="39" spans="1:9" ht="31.5">
      <c r="A39" s="780">
        <v>3</v>
      </c>
      <c r="B39" s="788" t="s">
        <v>299</v>
      </c>
      <c r="C39" s="772" t="s">
        <v>544</v>
      </c>
      <c r="D39" s="773" t="s">
        <v>438</v>
      </c>
      <c r="E39" s="394">
        <v>1982</v>
      </c>
      <c r="F39" s="395">
        <v>80</v>
      </c>
      <c r="G39" s="396">
        <v>44</v>
      </c>
      <c r="H39" s="396">
        <v>1</v>
      </c>
    </row>
    <row r="40" spans="1:9" ht="16.5">
      <c r="A40" s="780">
        <v>4</v>
      </c>
      <c r="B40" s="788" t="s">
        <v>299</v>
      </c>
      <c r="C40" s="772" t="s">
        <v>300</v>
      </c>
      <c r="D40" s="773" t="s">
        <v>438</v>
      </c>
      <c r="E40" s="780">
        <v>1991</v>
      </c>
      <c r="F40" s="780">
        <v>80</v>
      </c>
      <c r="G40" s="780">
        <v>120</v>
      </c>
      <c r="H40" s="780">
        <v>1</v>
      </c>
    </row>
    <row r="41" spans="1:9" ht="15.75">
      <c r="A41" s="780">
        <v>5</v>
      </c>
      <c r="B41" s="780" t="s">
        <v>546</v>
      </c>
      <c r="C41" s="781" t="s">
        <v>255</v>
      </c>
      <c r="D41" s="773" t="s">
        <v>438</v>
      </c>
      <c r="E41" s="394">
        <v>1986</v>
      </c>
      <c r="F41" s="544">
        <v>20</v>
      </c>
      <c r="G41" s="396">
        <v>190</v>
      </c>
      <c r="H41" s="396">
        <v>3</v>
      </c>
      <c r="I41" s="88"/>
    </row>
    <row r="42" spans="1:9" ht="15.75">
      <c r="A42" s="780">
        <v>6</v>
      </c>
      <c r="B42" s="780" t="s">
        <v>546</v>
      </c>
      <c r="C42" s="781" t="s">
        <v>256</v>
      </c>
      <c r="D42" s="774" t="s">
        <v>434</v>
      </c>
      <c r="E42" s="394">
        <v>1972</v>
      </c>
      <c r="F42" s="544">
        <v>70</v>
      </c>
      <c r="G42" s="396">
        <v>100</v>
      </c>
      <c r="H42" s="396">
        <v>5</v>
      </c>
      <c r="I42" s="88"/>
    </row>
    <row r="43" spans="1:9" ht="15.75">
      <c r="A43" s="780">
        <v>7</v>
      </c>
      <c r="B43" s="780" t="s">
        <v>547</v>
      </c>
      <c r="C43" s="781" t="s">
        <v>258</v>
      </c>
      <c r="D43" s="773" t="s">
        <v>434</v>
      </c>
      <c r="E43" s="394">
        <v>1994</v>
      </c>
      <c r="F43" s="544">
        <v>34</v>
      </c>
      <c r="G43" s="396">
        <v>100</v>
      </c>
      <c r="H43" s="396">
        <v>5</v>
      </c>
      <c r="I43" s="88"/>
    </row>
    <row r="44" spans="1:9" ht="15.75">
      <c r="A44" s="780">
        <v>8</v>
      </c>
      <c r="B44" s="780" t="s">
        <v>547</v>
      </c>
      <c r="C44" s="781" t="s">
        <v>260</v>
      </c>
      <c r="D44" s="773" t="s">
        <v>438</v>
      </c>
      <c r="E44" s="394">
        <v>1968</v>
      </c>
      <c r="F44" s="395">
        <v>45</v>
      </c>
      <c r="G44" s="396">
        <v>60</v>
      </c>
      <c r="H44" s="396">
        <v>2</v>
      </c>
      <c r="I44" s="88"/>
    </row>
    <row r="45" spans="1:9" ht="15.75">
      <c r="A45" s="780">
        <v>9</v>
      </c>
      <c r="B45" s="780" t="s">
        <v>548</v>
      </c>
      <c r="C45" s="781" t="s">
        <v>262</v>
      </c>
      <c r="D45" s="773" t="s">
        <v>434</v>
      </c>
      <c r="E45" s="407">
        <v>1989</v>
      </c>
      <c r="F45" s="395">
        <v>23</v>
      </c>
      <c r="G45" s="396">
        <v>50</v>
      </c>
      <c r="H45" s="396">
        <v>5</v>
      </c>
      <c r="I45" s="486"/>
    </row>
    <row r="46" spans="1:9" ht="15.75">
      <c r="A46" s="780">
        <v>10</v>
      </c>
      <c r="B46" s="780" t="s">
        <v>548</v>
      </c>
      <c r="C46" s="781" t="s">
        <v>263</v>
      </c>
      <c r="D46" s="773" t="s">
        <v>438</v>
      </c>
      <c r="E46" s="394">
        <v>1968</v>
      </c>
      <c r="F46" s="395">
        <v>70</v>
      </c>
      <c r="G46" s="396">
        <v>150</v>
      </c>
      <c r="H46" s="396">
        <v>2</v>
      </c>
      <c r="I46" s="358" t="s">
        <v>430</v>
      </c>
    </row>
    <row r="47" spans="1:9" ht="15.75">
      <c r="A47" s="780">
        <v>11</v>
      </c>
      <c r="B47" s="780" t="s">
        <v>549</v>
      </c>
      <c r="C47" s="781" t="s">
        <v>265</v>
      </c>
      <c r="D47" s="773" t="s">
        <v>434</v>
      </c>
      <c r="E47" s="394">
        <v>1989</v>
      </c>
      <c r="F47" s="395">
        <v>60</v>
      </c>
      <c r="G47" s="783">
        <v>60</v>
      </c>
      <c r="H47" s="396">
        <v>3</v>
      </c>
      <c r="I47" s="88"/>
    </row>
    <row r="48" spans="1:9" ht="15.75">
      <c r="A48" s="780">
        <v>12</v>
      </c>
      <c r="B48" s="780" t="s">
        <v>549</v>
      </c>
      <c r="C48" s="781" t="s">
        <v>266</v>
      </c>
      <c r="D48" s="773" t="s">
        <v>438</v>
      </c>
      <c r="E48" s="394">
        <v>1979</v>
      </c>
      <c r="F48" s="544">
        <v>80</v>
      </c>
      <c r="G48" s="396">
        <v>60</v>
      </c>
      <c r="H48" s="396">
        <v>1</v>
      </c>
      <c r="I48" s="88"/>
    </row>
    <row r="49" spans="1:9" ht="15.75">
      <c r="A49" s="780">
        <v>13</v>
      </c>
      <c r="B49" s="780" t="s">
        <v>550</v>
      </c>
      <c r="C49" s="781" t="s">
        <v>268</v>
      </c>
      <c r="D49" s="773" t="s">
        <v>434</v>
      </c>
      <c r="E49" s="407">
        <v>1970</v>
      </c>
      <c r="F49" s="395">
        <v>80</v>
      </c>
      <c r="G49" s="396">
        <v>100</v>
      </c>
      <c r="H49" s="396">
        <v>3</v>
      </c>
      <c r="I49" s="88"/>
    </row>
    <row r="50" spans="1:9" ht="15.75">
      <c r="A50" s="780">
        <v>14</v>
      </c>
      <c r="B50" s="780" t="s">
        <v>550</v>
      </c>
      <c r="C50" s="781" t="s">
        <v>269</v>
      </c>
      <c r="D50" s="773" t="s">
        <v>438</v>
      </c>
      <c r="E50" s="407">
        <v>1946</v>
      </c>
      <c r="F50" s="395">
        <v>100</v>
      </c>
      <c r="G50" s="396">
        <v>40</v>
      </c>
      <c r="H50" s="396">
        <v>1</v>
      </c>
      <c r="I50" s="88"/>
    </row>
    <row r="51" spans="1:9" ht="15.75">
      <c r="A51" s="780">
        <v>15</v>
      </c>
      <c r="B51" s="780" t="s">
        <v>551</v>
      </c>
      <c r="C51" s="781" t="s">
        <v>272</v>
      </c>
      <c r="D51" s="773" t="s">
        <v>434</v>
      </c>
      <c r="E51" s="394">
        <v>1959</v>
      </c>
      <c r="F51" s="395">
        <v>100</v>
      </c>
      <c r="G51" s="396">
        <v>200</v>
      </c>
      <c r="H51" s="396">
        <v>3</v>
      </c>
      <c r="I51" s="88"/>
    </row>
    <row r="52" spans="1:9" ht="15.75">
      <c r="A52" s="780">
        <v>16</v>
      </c>
      <c r="B52" s="780" t="s">
        <v>551</v>
      </c>
      <c r="C52" s="781" t="s">
        <v>273</v>
      </c>
      <c r="D52" s="773" t="s">
        <v>438</v>
      </c>
      <c r="E52" s="394">
        <v>1956</v>
      </c>
      <c r="F52" s="395">
        <v>100</v>
      </c>
      <c r="G52" s="396">
        <v>20</v>
      </c>
      <c r="H52" s="396">
        <v>1</v>
      </c>
      <c r="I52" s="88"/>
    </row>
    <row r="53" spans="1:9" ht="15.75">
      <c r="A53" s="780">
        <v>17</v>
      </c>
      <c r="B53" s="780" t="s">
        <v>551</v>
      </c>
      <c r="C53" s="781" t="s">
        <v>274</v>
      </c>
      <c r="D53" s="773" t="s">
        <v>438</v>
      </c>
      <c r="E53" s="394">
        <v>1958</v>
      </c>
      <c r="F53" s="395">
        <v>100</v>
      </c>
      <c r="G53" s="396">
        <v>30</v>
      </c>
      <c r="H53" s="396">
        <v>2</v>
      </c>
      <c r="I53" s="88"/>
    </row>
    <row r="54" spans="1:9" ht="15.75">
      <c r="A54" s="780">
        <v>18</v>
      </c>
      <c r="B54" s="780" t="s">
        <v>551</v>
      </c>
      <c r="C54" s="781" t="s">
        <v>275</v>
      </c>
      <c r="D54" s="773" t="s">
        <v>438</v>
      </c>
      <c r="E54" s="394">
        <v>1974</v>
      </c>
      <c r="F54" s="395">
        <v>70</v>
      </c>
      <c r="G54" s="396">
        <v>80</v>
      </c>
      <c r="H54" s="396">
        <v>3</v>
      </c>
      <c r="I54" s="88"/>
    </row>
    <row r="55" spans="1:9" ht="15.75">
      <c r="A55" s="780">
        <v>19</v>
      </c>
      <c r="B55" s="780" t="s">
        <v>552</v>
      </c>
      <c r="C55" s="781" t="s">
        <v>278</v>
      </c>
      <c r="D55" s="773" t="s">
        <v>434</v>
      </c>
      <c r="E55" s="407">
        <v>1983</v>
      </c>
      <c r="F55" s="395">
        <v>60</v>
      </c>
      <c r="G55" s="396">
        <v>80</v>
      </c>
      <c r="H55" s="396">
        <v>3</v>
      </c>
      <c r="I55" s="88"/>
    </row>
    <row r="56" spans="1:9" ht="15.75">
      <c r="A56" s="780">
        <v>20</v>
      </c>
      <c r="B56" s="780" t="s">
        <v>552</v>
      </c>
      <c r="C56" s="781" t="s">
        <v>279</v>
      </c>
      <c r="D56" s="773" t="s">
        <v>438</v>
      </c>
      <c r="E56" s="407">
        <v>1958</v>
      </c>
      <c r="F56" s="395">
        <v>100</v>
      </c>
      <c r="G56" s="408">
        <v>25</v>
      </c>
      <c r="H56" s="396">
        <v>4</v>
      </c>
      <c r="I56" s="88"/>
    </row>
    <row r="57" spans="1:9" ht="15.75">
      <c r="A57" s="780">
        <v>21</v>
      </c>
      <c r="B57" s="780" t="s">
        <v>553</v>
      </c>
      <c r="C57" s="781" t="s">
        <v>284</v>
      </c>
      <c r="D57" s="773" t="s">
        <v>434</v>
      </c>
      <c r="E57" s="394">
        <v>1976</v>
      </c>
      <c r="F57" s="395">
        <v>60</v>
      </c>
      <c r="G57" s="396">
        <v>300</v>
      </c>
      <c r="H57" s="396">
        <v>5</v>
      </c>
      <c r="I57" s="482" t="s">
        <v>448</v>
      </c>
    </row>
    <row r="58" spans="1:9" ht="15.75">
      <c r="A58" s="780">
        <v>22</v>
      </c>
      <c r="B58" s="780" t="s">
        <v>553</v>
      </c>
      <c r="C58" s="781" t="s">
        <v>286</v>
      </c>
      <c r="D58" s="773" t="s">
        <v>438</v>
      </c>
      <c r="E58" s="394">
        <v>1913</v>
      </c>
      <c r="F58" s="395">
        <v>100</v>
      </c>
      <c r="G58" s="396">
        <v>32</v>
      </c>
      <c r="H58" s="396">
        <v>1</v>
      </c>
      <c r="I58" s="482" t="s">
        <v>448</v>
      </c>
    </row>
    <row r="59" spans="1:9" ht="15.75">
      <c r="A59" s="780">
        <v>23</v>
      </c>
      <c r="B59" s="780" t="s">
        <v>554</v>
      </c>
      <c r="C59" s="781" t="s">
        <v>289</v>
      </c>
      <c r="D59" s="773" t="s">
        <v>434</v>
      </c>
      <c r="E59" s="407">
        <v>1978</v>
      </c>
      <c r="F59" s="395">
        <v>40</v>
      </c>
      <c r="G59" s="396">
        <v>250</v>
      </c>
      <c r="H59" s="396">
        <v>10</v>
      </c>
      <c r="I59" s="88"/>
    </row>
    <row r="60" spans="1:9" ht="15.75">
      <c r="A60" s="780">
        <v>24</v>
      </c>
      <c r="B60" s="780" t="s">
        <v>554</v>
      </c>
      <c r="C60" s="781" t="s">
        <v>291</v>
      </c>
      <c r="D60" s="773" t="s">
        <v>438</v>
      </c>
      <c r="E60" s="394">
        <v>1980</v>
      </c>
      <c r="F60" s="395">
        <v>39</v>
      </c>
      <c r="G60" s="396">
        <v>40</v>
      </c>
      <c r="H60" s="396">
        <v>1</v>
      </c>
      <c r="I60" s="88"/>
    </row>
    <row r="61" spans="1:9" ht="15.75">
      <c r="A61" s="780">
        <v>25</v>
      </c>
      <c r="B61" s="780" t="s">
        <v>555</v>
      </c>
      <c r="C61" s="781" t="s">
        <v>293</v>
      </c>
      <c r="D61" s="773" t="s">
        <v>434</v>
      </c>
      <c r="E61" s="394">
        <v>1959</v>
      </c>
      <c r="F61" s="395">
        <v>100</v>
      </c>
      <c r="G61" s="396">
        <v>150</v>
      </c>
      <c r="H61" s="396">
        <v>4</v>
      </c>
      <c r="I61" s="88"/>
    </row>
    <row r="62" spans="1:9" ht="15.75">
      <c r="A62" s="780">
        <v>26</v>
      </c>
      <c r="B62" s="780" t="s">
        <v>555</v>
      </c>
      <c r="C62" s="781" t="s">
        <v>295</v>
      </c>
      <c r="D62" s="773" t="s">
        <v>438</v>
      </c>
      <c r="E62" s="407">
        <v>1956</v>
      </c>
      <c r="F62" s="395">
        <v>100</v>
      </c>
      <c r="G62" s="396">
        <v>106</v>
      </c>
      <c r="H62" s="396">
        <v>3</v>
      </c>
      <c r="I62" s="88"/>
    </row>
    <row r="63" spans="1:9" ht="15.75">
      <c r="A63" s="780">
        <v>27</v>
      </c>
      <c r="B63" s="780" t="s">
        <v>555</v>
      </c>
      <c r="C63" s="781" t="s">
        <v>296</v>
      </c>
      <c r="D63" s="773" t="s">
        <v>438</v>
      </c>
      <c r="E63" s="394">
        <v>1953</v>
      </c>
      <c r="F63" s="395">
        <v>100</v>
      </c>
      <c r="G63" s="396">
        <v>50</v>
      </c>
      <c r="H63" s="396">
        <v>2</v>
      </c>
      <c r="I63" s="88"/>
    </row>
    <row r="64" spans="1:9">
      <c r="G64" s="748"/>
    </row>
    <row r="65" spans="2:10">
      <c r="F65" s="1111"/>
      <c r="G65" s="1110">
        <f>SUM(G37:G63)</f>
        <v>2947</v>
      </c>
      <c r="H65" s="1005"/>
      <c r="J65" s="748"/>
    </row>
    <row r="66" spans="2:10" ht="27" customHeight="1">
      <c r="B66" s="792" t="s">
        <v>561</v>
      </c>
    </row>
    <row r="67" spans="2:10" ht="38.25">
      <c r="B67" s="794" t="s">
        <v>200</v>
      </c>
      <c r="C67" s="794"/>
      <c r="D67" s="393" t="s">
        <v>201</v>
      </c>
      <c r="E67" s="393" t="s">
        <v>202</v>
      </c>
      <c r="F67" s="393" t="s">
        <v>203</v>
      </c>
      <c r="G67" s="393" t="s">
        <v>204</v>
      </c>
      <c r="H67" s="393" t="s">
        <v>205</v>
      </c>
    </row>
    <row r="68" spans="2:10">
      <c r="B68" s="326" t="s">
        <v>302</v>
      </c>
      <c r="C68" s="400" t="s">
        <v>412</v>
      </c>
      <c r="D68" s="394">
        <v>1960</v>
      </c>
      <c r="E68" s="395"/>
      <c r="F68" s="396">
        <v>447</v>
      </c>
      <c r="G68" s="396">
        <v>350</v>
      </c>
      <c r="H68" s="38">
        <v>168</v>
      </c>
    </row>
    <row r="69" spans="2:10" ht="25.5">
      <c r="B69" s="326" t="s">
        <v>302</v>
      </c>
      <c r="C69" s="400" t="s">
        <v>413</v>
      </c>
      <c r="D69" s="36"/>
      <c r="E69" s="37"/>
      <c r="F69" s="38"/>
      <c r="G69" s="38"/>
      <c r="H69" s="38"/>
    </row>
    <row r="70" spans="2:10">
      <c r="B70" s="797" t="s">
        <v>299</v>
      </c>
      <c r="C70" s="401" t="s">
        <v>464</v>
      </c>
      <c r="D70" s="394">
        <v>1983</v>
      </c>
      <c r="E70" s="395">
        <v>15</v>
      </c>
      <c r="F70" s="360" t="s">
        <v>419</v>
      </c>
      <c r="G70" s="360">
        <v>42</v>
      </c>
      <c r="H70" s="396">
        <v>30</v>
      </c>
    </row>
    <row r="71" spans="2:10" ht="15.75">
      <c r="B71" s="793" t="s">
        <v>255</v>
      </c>
      <c r="C71" s="795" t="s">
        <v>16</v>
      </c>
      <c r="D71" s="36">
        <v>1988</v>
      </c>
      <c r="E71" s="167"/>
      <c r="F71" s="38" t="s">
        <v>465</v>
      </c>
      <c r="G71" s="38"/>
      <c r="H71" s="38"/>
    </row>
    <row r="72" spans="2:10" ht="25.5">
      <c r="B72" s="798" t="s">
        <v>258</v>
      </c>
      <c r="C72" s="398" t="s">
        <v>563</v>
      </c>
      <c r="D72" s="394">
        <v>1956</v>
      </c>
      <c r="E72" s="544">
        <v>100</v>
      </c>
      <c r="F72" s="396">
        <v>50</v>
      </c>
      <c r="G72" s="396">
        <v>5</v>
      </c>
      <c r="H72" s="396">
        <v>6</v>
      </c>
    </row>
    <row r="73" spans="2:10" ht="15.75">
      <c r="B73" s="570" t="s">
        <v>260</v>
      </c>
      <c r="C73" s="796" t="s">
        <v>16</v>
      </c>
      <c r="D73" s="394">
        <v>1989</v>
      </c>
      <c r="E73" s="395">
        <v>72</v>
      </c>
      <c r="F73">
        <v>11</v>
      </c>
      <c r="G73" s="396">
        <v>20</v>
      </c>
      <c r="H73" s="38"/>
      <c r="I73" s="396" t="s">
        <v>473</v>
      </c>
    </row>
    <row r="74" spans="2:10" ht="15.75">
      <c r="B74" s="570" t="s">
        <v>262</v>
      </c>
      <c r="C74" s="796" t="s">
        <v>16</v>
      </c>
      <c r="D74" s="407">
        <v>1984</v>
      </c>
      <c r="E74" s="395">
        <v>100</v>
      </c>
      <c r="F74" s="411" t="s">
        <v>566</v>
      </c>
      <c r="G74" s="396">
        <v>27</v>
      </c>
      <c r="H74" s="396">
        <v>2</v>
      </c>
    </row>
    <row r="75" spans="2:10" ht="15.75">
      <c r="B75" s="570" t="s">
        <v>263</v>
      </c>
      <c r="C75" s="796" t="s">
        <v>16</v>
      </c>
      <c r="D75" s="394">
        <v>1984</v>
      </c>
      <c r="E75" s="395">
        <v>100</v>
      </c>
      <c r="F75" s="411" t="s">
        <v>565</v>
      </c>
      <c r="G75" s="396">
        <v>12</v>
      </c>
      <c r="H75" s="396">
        <v>2</v>
      </c>
    </row>
    <row r="76" spans="2:10" ht="15.75">
      <c r="B76" s="570" t="s">
        <v>265</v>
      </c>
      <c r="C76" s="796" t="s">
        <v>16</v>
      </c>
      <c r="D76" s="394">
        <v>1989</v>
      </c>
      <c r="E76" s="395">
        <v>25</v>
      </c>
      <c r="F76" s="783">
        <v>14</v>
      </c>
      <c r="G76" s="297">
        <v>8</v>
      </c>
      <c r="H76" s="396">
        <v>2</v>
      </c>
    </row>
    <row r="77" spans="2:10" ht="15.75">
      <c r="B77" s="570" t="s">
        <v>268</v>
      </c>
      <c r="C77" s="796" t="s">
        <v>16</v>
      </c>
      <c r="D77" s="407">
        <v>1970</v>
      </c>
      <c r="E77" s="395">
        <v>50</v>
      </c>
      <c r="F77" s="408">
        <v>15</v>
      </c>
      <c r="G77" s="396">
        <v>8</v>
      </c>
      <c r="H77" s="396">
        <v>2</v>
      </c>
    </row>
    <row r="78" spans="2:10" ht="15.75">
      <c r="B78" s="570" t="s">
        <v>272</v>
      </c>
      <c r="C78" s="796" t="s">
        <v>16</v>
      </c>
      <c r="D78" s="394">
        <v>1983</v>
      </c>
      <c r="E78" s="395">
        <v>60</v>
      </c>
      <c r="F78" s="396">
        <v>17</v>
      </c>
      <c r="G78" s="396">
        <v>9</v>
      </c>
      <c r="H78" s="396">
        <v>3</v>
      </c>
    </row>
    <row r="79" spans="2:10" ht="15.75">
      <c r="B79" s="570" t="s">
        <v>274</v>
      </c>
      <c r="C79" s="796" t="s">
        <v>16</v>
      </c>
      <c r="D79" s="394">
        <v>1955</v>
      </c>
      <c r="E79" s="395">
        <v>100</v>
      </c>
      <c r="F79" s="396">
        <v>22</v>
      </c>
      <c r="G79" s="396">
        <v>21</v>
      </c>
      <c r="H79" s="396">
        <v>3</v>
      </c>
    </row>
    <row r="80" spans="2:10" ht="15.75">
      <c r="B80" s="570" t="s">
        <v>275</v>
      </c>
      <c r="C80" s="796" t="s">
        <v>16</v>
      </c>
      <c r="D80" s="407">
        <v>1962</v>
      </c>
      <c r="E80" s="395">
        <v>100</v>
      </c>
      <c r="F80" s="396">
        <v>13</v>
      </c>
      <c r="G80" s="396">
        <v>17</v>
      </c>
      <c r="H80" s="396">
        <v>2</v>
      </c>
    </row>
    <row r="81" spans="2:9" ht="15.75">
      <c r="B81" s="570" t="s">
        <v>278</v>
      </c>
      <c r="C81" s="796" t="s">
        <v>16</v>
      </c>
      <c r="D81" s="407">
        <v>1973</v>
      </c>
      <c r="E81" s="395">
        <v>100</v>
      </c>
      <c r="F81" s="396">
        <v>15</v>
      </c>
      <c r="G81" s="396">
        <v>21</v>
      </c>
      <c r="H81" s="396">
        <v>2</v>
      </c>
    </row>
    <row r="82" spans="2:9" ht="15.75">
      <c r="B82" s="570" t="s">
        <v>279</v>
      </c>
      <c r="C82" s="796" t="s">
        <v>16</v>
      </c>
      <c r="D82" s="407">
        <v>1974</v>
      </c>
      <c r="E82" s="395">
        <v>100</v>
      </c>
      <c r="F82" s="408">
        <v>4</v>
      </c>
      <c r="G82" s="396">
        <v>5</v>
      </c>
      <c r="H82" s="396">
        <v>2</v>
      </c>
    </row>
    <row r="83" spans="2:9" ht="15.75">
      <c r="B83" s="570" t="s">
        <v>280</v>
      </c>
      <c r="C83" s="796" t="s">
        <v>16</v>
      </c>
      <c r="D83" s="298">
        <v>1976</v>
      </c>
      <c r="E83" s="298">
        <v>100</v>
      </c>
      <c r="F83" s="298">
        <v>5</v>
      </c>
      <c r="G83" s="298">
        <v>9</v>
      </c>
      <c r="H83" s="298">
        <v>2</v>
      </c>
    </row>
    <row r="84" spans="2:9" ht="15.75">
      <c r="B84" s="570" t="s">
        <v>282</v>
      </c>
      <c r="C84" s="796" t="s">
        <v>16</v>
      </c>
      <c r="D84" s="407">
        <v>1956</v>
      </c>
      <c r="E84" s="395">
        <v>100</v>
      </c>
      <c r="F84" s="396">
        <v>5</v>
      </c>
      <c r="G84" s="396">
        <v>10</v>
      </c>
      <c r="H84" s="396">
        <v>2</v>
      </c>
    </row>
    <row r="85" spans="2:9" ht="15.75">
      <c r="B85" s="570" t="s">
        <v>284</v>
      </c>
      <c r="C85" s="796" t="s">
        <v>16</v>
      </c>
      <c r="D85" s="394">
        <v>1978</v>
      </c>
      <c r="E85" s="395">
        <v>83</v>
      </c>
      <c r="F85" s="396">
        <v>22</v>
      </c>
      <c r="G85" s="396">
        <v>17</v>
      </c>
      <c r="H85" s="396">
        <v>5</v>
      </c>
      <c r="I85" t="s">
        <v>562</v>
      </c>
    </row>
    <row r="86" spans="2:9" ht="25.5">
      <c r="B86" s="570" t="s">
        <v>289</v>
      </c>
      <c r="C86" s="796" t="s">
        <v>563</v>
      </c>
      <c r="D86" s="407">
        <v>1958</v>
      </c>
      <c r="E86" s="395">
        <v>100</v>
      </c>
      <c r="F86" s="396">
        <v>50</v>
      </c>
      <c r="G86" s="396">
        <v>23</v>
      </c>
      <c r="H86" s="396">
        <v>14</v>
      </c>
    </row>
    <row r="87" spans="2:9" ht="15.75">
      <c r="B87" s="570" t="s">
        <v>291</v>
      </c>
      <c r="C87" s="796" t="s">
        <v>16</v>
      </c>
      <c r="D87" s="394">
        <v>1982</v>
      </c>
      <c r="E87" s="395">
        <v>100</v>
      </c>
      <c r="F87" s="396">
        <v>6</v>
      </c>
      <c r="G87" s="396">
        <v>9</v>
      </c>
      <c r="H87" s="396">
        <v>2</v>
      </c>
    </row>
    <row r="88" spans="2:9" ht="15.75">
      <c r="B88" s="570" t="s">
        <v>293</v>
      </c>
      <c r="C88" s="796" t="s">
        <v>16</v>
      </c>
      <c r="D88" s="394">
        <v>1991</v>
      </c>
      <c r="E88" s="395">
        <v>18</v>
      </c>
      <c r="F88" s="396">
        <v>17</v>
      </c>
      <c r="G88" s="396">
        <v>15</v>
      </c>
      <c r="H88" s="396">
        <v>2</v>
      </c>
    </row>
    <row r="89" spans="2:9" ht="15.75">
      <c r="B89" s="570" t="s">
        <v>295</v>
      </c>
      <c r="C89" s="796" t="s">
        <v>16</v>
      </c>
      <c r="D89" s="407">
        <v>1970</v>
      </c>
      <c r="E89" s="395">
        <v>100</v>
      </c>
      <c r="F89" s="411" t="s">
        <v>564</v>
      </c>
      <c r="G89" s="396">
        <v>18</v>
      </c>
      <c r="H89" s="396">
        <v>2</v>
      </c>
    </row>
    <row r="90" spans="2:9" ht="15.75">
      <c r="B90" s="570" t="s">
        <v>296</v>
      </c>
      <c r="C90" s="394" t="s">
        <v>16</v>
      </c>
      <c r="D90" s="394">
        <v>1981</v>
      </c>
      <c r="E90" s="395">
        <v>100</v>
      </c>
      <c r="F90" s="396">
        <v>9</v>
      </c>
      <c r="G90" s="396">
        <v>11</v>
      </c>
      <c r="H90" s="396">
        <v>2</v>
      </c>
    </row>
    <row r="91" spans="2:9" ht="15.75">
      <c r="B91" s="799" t="s">
        <v>567</v>
      </c>
      <c r="C91" s="568" t="s">
        <v>16</v>
      </c>
      <c r="D91" s="168">
        <v>1975</v>
      </c>
      <c r="E91" s="37">
        <v>50</v>
      </c>
      <c r="F91" s="408">
        <v>10</v>
      </c>
      <c r="G91" s="396">
        <v>5</v>
      </c>
      <c r="H91" s="396">
        <v>2</v>
      </c>
    </row>
    <row r="92" spans="2:9">
      <c r="B92" s="777" t="s">
        <v>301</v>
      </c>
      <c r="C92" s="800" t="s">
        <v>16</v>
      </c>
      <c r="D92" s="168"/>
      <c r="E92" s="37"/>
      <c r="F92" s="408">
        <v>3</v>
      </c>
      <c r="G92" s="396">
        <v>10</v>
      </c>
      <c r="H92" s="396">
        <v>2</v>
      </c>
    </row>
    <row r="96" spans="2:9" ht="25.5">
      <c r="B96" s="326" t="s">
        <v>302</v>
      </c>
      <c r="C96" s="400" t="s">
        <v>348</v>
      </c>
      <c r="D96" s="36"/>
      <c r="E96" s="37"/>
      <c r="F96" s="396">
        <v>8</v>
      </c>
      <c r="G96" s="38"/>
    </row>
    <row r="97" spans="1:8" ht="25.5">
      <c r="B97" s="200" t="s">
        <v>299</v>
      </c>
      <c r="C97" s="568" t="s">
        <v>348</v>
      </c>
      <c r="D97" s="394"/>
      <c r="E97" s="395"/>
      <c r="F97" s="553">
        <v>1</v>
      </c>
      <c r="G97" s="396">
        <v>1</v>
      </c>
    </row>
    <row r="98" spans="1:8" ht="25.5">
      <c r="B98" s="793" t="s">
        <v>258</v>
      </c>
      <c r="C98" s="569" t="s">
        <v>348</v>
      </c>
      <c r="D98" s="36"/>
      <c r="E98" s="167"/>
      <c r="F98" s="396">
        <v>1</v>
      </c>
      <c r="G98" s="38"/>
    </row>
    <row r="99" spans="1:8" ht="25.5">
      <c r="B99" s="793" t="s">
        <v>262</v>
      </c>
      <c r="C99" s="569" t="s">
        <v>348</v>
      </c>
      <c r="D99" s="407">
        <v>1976</v>
      </c>
      <c r="E99" s="395"/>
      <c r="F99" s="396">
        <v>1</v>
      </c>
      <c r="G99" s="396">
        <v>1</v>
      </c>
    </row>
    <row r="100" spans="1:8" ht="25.5">
      <c r="B100" s="793" t="s">
        <v>274</v>
      </c>
      <c r="C100" s="569" t="s">
        <v>348</v>
      </c>
      <c r="D100" s="394"/>
      <c r="E100" s="37"/>
      <c r="F100" s="411" t="s">
        <v>441</v>
      </c>
      <c r="G100" s="396"/>
    </row>
    <row r="101" spans="1:8" ht="25.5">
      <c r="B101" s="793" t="s">
        <v>284</v>
      </c>
      <c r="C101" s="569" t="s">
        <v>348</v>
      </c>
      <c r="D101" s="394">
        <v>1980</v>
      </c>
      <c r="E101" s="395">
        <v>100</v>
      </c>
      <c r="F101" s="396" t="s">
        <v>441</v>
      </c>
      <c r="G101" s="396">
        <v>1</v>
      </c>
    </row>
    <row r="102" spans="1:8" ht="25.5">
      <c r="B102" s="793" t="s">
        <v>289</v>
      </c>
      <c r="C102" s="569" t="s">
        <v>348</v>
      </c>
      <c r="D102" s="407"/>
      <c r="E102" s="395"/>
      <c r="F102" s="396" t="s">
        <v>441</v>
      </c>
      <c r="G102" s="396">
        <v>1</v>
      </c>
    </row>
    <row r="103" spans="1:8" ht="25.5">
      <c r="B103" s="791" t="s">
        <v>568</v>
      </c>
      <c r="C103" s="569" t="s">
        <v>348</v>
      </c>
      <c r="D103" s="731"/>
      <c r="E103" s="731"/>
      <c r="F103" s="731">
        <v>1</v>
      </c>
      <c r="G103" s="731"/>
    </row>
    <row r="107" spans="1:8">
      <c r="A107" s="1021"/>
      <c r="B107" s="1048" t="s">
        <v>302</v>
      </c>
      <c r="C107" s="1045" t="s">
        <v>13</v>
      </c>
      <c r="D107" s="36"/>
      <c r="E107" s="37"/>
      <c r="F107" s="38"/>
      <c r="G107" s="38"/>
      <c r="H107" s="88"/>
    </row>
    <row r="108" spans="1:8">
      <c r="A108" s="1021"/>
      <c r="B108" s="1034" t="s">
        <v>302</v>
      </c>
      <c r="C108" s="1045" t="s">
        <v>218</v>
      </c>
      <c r="D108" s="36"/>
      <c r="E108" s="37"/>
      <c r="F108" s="38"/>
      <c r="G108" s="38"/>
      <c r="H108" s="88"/>
    </row>
    <row r="109" spans="1:8">
      <c r="A109" s="1021"/>
      <c r="B109" s="200" t="s">
        <v>299</v>
      </c>
      <c r="C109" s="1046" t="s">
        <v>13</v>
      </c>
      <c r="D109" s="394">
        <v>1985</v>
      </c>
      <c r="E109" s="395">
        <v>90</v>
      </c>
      <c r="F109" s="396">
        <v>8</v>
      </c>
      <c r="G109" s="38"/>
      <c r="H109" s="88"/>
    </row>
    <row r="110" spans="1:8">
      <c r="A110" s="1021"/>
      <c r="B110" s="200" t="s">
        <v>299</v>
      </c>
      <c r="C110" s="1046" t="s">
        <v>218</v>
      </c>
      <c r="D110" s="394">
        <v>1985</v>
      </c>
      <c r="E110" s="395">
        <v>89</v>
      </c>
      <c r="F110" s="396">
        <v>1</v>
      </c>
      <c r="G110" s="38"/>
      <c r="H110" s="88"/>
    </row>
    <row r="111" spans="1:8" ht="15.75">
      <c r="B111" s="1049" t="s">
        <v>258</v>
      </c>
      <c r="C111" s="773" t="s">
        <v>864</v>
      </c>
      <c r="D111" s="394">
        <v>1960</v>
      </c>
      <c r="E111" s="544">
        <v>100</v>
      </c>
      <c r="F111" s="38"/>
      <c r="G111" s="38"/>
      <c r="H111" s="88"/>
    </row>
    <row r="112" spans="1:8" ht="15.75">
      <c r="A112" s="1021"/>
      <c r="B112" s="1049" t="s">
        <v>262</v>
      </c>
      <c r="C112" s="773" t="s">
        <v>13</v>
      </c>
      <c r="D112" s="407">
        <v>1986</v>
      </c>
      <c r="E112" s="395"/>
      <c r="F112" s="396">
        <v>1</v>
      </c>
      <c r="G112" s="396"/>
      <c r="H112" s="482"/>
    </row>
    <row r="113" spans="1:8" ht="15.75">
      <c r="A113" s="1021"/>
      <c r="B113" s="102" t="s">
        <v>262</v>
      </c>
      <c r="C113" s="773" t="s">
        <v>218</v>
      </c>
      <c r="D113" s="407">
        <v>1970</v>
      </c>
      <c r="E113" s="395"/>
      <c r="F113" s="396">
        <v>1</v>
      </c>
      <c r="G113" s="396"/>
      <c r="H113" s="482"/>
    </row>
    <row r="114" spans="1:8" ht="15.75">
      <c r="B114" s="1049" t="s">
        <v>263</v>
      </c>
      <c r="C114" s="773" t="s">
        <v>13</v>
      </c>
      <c r="D114" s="394">
        <v>1984</v>
      </c>
      <c r="E114" s="395"/>
      <c r="F114" s="396">
        <v>1</v>
      </c>
      <c r="G114" s="396"/>
      <c r="H114" s="482"/>
    </row>
    <row r="115" spans="1:8" ht="15.75">
      <c r="B115" s="1049" t="s">
        <v>265</v>
      </c>
      <c r="C115" s="1047" t="s">
        <v>13</v>
      </c>
      <c r="D115" s="36"/>
      <c r="E115" s="37"/>
      <c r="F115" s="396"/>
      <c r="G115" s="38"/>
      <c r="H115" s="88"/>
    </row>
    <row r="116" spans="1:8" ht="15.75">
      <c r="A116" s="1021"/>
      <c r="B116" s="1049" t="s">
        <v>268</v>
      </c>
      <c r="C116" s="773" t="s">
        <v>13</v>
      </c>
      <c r="D116" s="407">
        <v>1970</v>
      </c>
      <c r="E116" s="395">
        <v>100</v>
      </c>
      <c r="F116" s="396">
        <v>2</v>
      </c>
      <c r="G116" s="396"/>
      <c r="H116" s="88"/>
    </row>
    <row r="117" spans="1:8" ht="15.75">
      <c r="A117" s="1021"/>
      <c r="B117" s="102" t="s">
        <v>268</v>
      </c>
      <c r="C117" s="773" t="s">
        <v>218</v>
      </c>
      <c r="D117" s="407">
        <v>1952</v>
      </c>
      <c r="E117" s="395">
        <v>100</v>
      </c>
      <c r="F117" s="396"/>
      <c r="G117" s="396"/>
      <c r="H117" s="88"/>
    </row>
    <row r="118" spans="1:8" ht="15.75">
      <c r="A118" s="1021"/>
      <c r="B118" s="1049" t="s">
        <v>272</v>
      </c>
      <c r="C118" s="773" t="s">
        <v>13</v>
      </c>
      <c r="D118" s="36"/>
      <c r="E118" s="37"/>
      <c r="F118" s="396">
        <v>3</v>
      </c>
      <c r="G118" s="38"/>
      <c r="H118" s="88"/>
    </row>
    <row r="119" spans="1:8" ht="15.75">
      <c r="A119" s="1021"/>
      <c r="B119" s="102" t="s">
        <v>272</v>
      </c>
      <c r="C119" s="773" t="s">
        <v>218</v>
      </c>
      <c r="D119" s="36"/>
      <c r="E119" s="37"/>
      <c r="F119" s="396"/>
      <c r="G119" s="38"/>
      <c r="H119" s="88"/>
    </row>
    <row r="120" spans="1:8" ht="15.75">
      <c r="B120" s="102" t="s">
        <v>274</v>
      </c>
      <c r="C120" s="773" t="s">
        <v>218</v>
      </c>
      <c r="D120" s="36"/>
      <c r="E120" s="37"/>
      <c r="F120" s="396"/>
      <c r="G120" s="38"/>
      <c r="H120" s="88"/>
    </row>
    <row r="121" spans="1:8" ht="15.75">
      <c r="A121" s="1021"/>
      <c r="B121" s="1049" t="s">
        <v>275</v>
      </c>
      <c r="C121" s="773" t="s">
        <v>13</v>
      </c>
      <c r="D121" s="36"/>
      <c r="E121" s="37"/>
      <c r="F121" s="396">
        <v>3</v>
      </c>
      <c r="G121" s="38"/>
      <c r="H121" s="88"/>
    </row>
    <row r="122" spans="1:8" ht="15.75">
      <c r="A122" s="1021"/>
      <c r="B122" s="102" t="s">
        <v>275</v>
      </c>
      <c r="C122" s="773" t="s">
        <v>218</v>
      </c>
      <c r="D122" s="36"/>
      <c r="E122" s="37"/>
      <c r="F122" s="396"/>
      <c r="G122" s="38"/>
      <c r="H122" s="88"/>
    </row>
    <row r="123" spans="1:8" ht="15.75">
      <c r="B123" s="1049" t="s">
        <v>278</v>
      </c>
      <c r="C123" s="773" t="s">
        <v>13</v>
      </c>
      <c r="D123" s="407"/>
      <c r="E123" s="395"/>
      <c r="F123" s="396">
        <v>2</v>
      </c>
      <c r="G123" s="38"/>
      <c r="H123" s="88"/>
    </row>
    <row r="124" spans="1:8" ht="15.75">
      <c r="B124" s="1049" t="s">
        <v>279</v>
      </c>
      <c r="C124" s="773" t="s">
        <v>13</v>
      </c>
      <c r="D124" s="407"/>
      <c r="E124" s="395"/>
      <c r="F124" s="396">
        <v>1</v>
      </c>
      <c r="G124" s="38"/>
      <c r="H124" s="88"/>
    </row>
    <row r="125" spans="1:8" ht="15.75">
      <c r="B125" s="1049" t="s">
        <v>284</v>
      </c>
      <c r="C125" s="773" t="s">
        <v>13</v>
      </c>
      <c r="D125" s="394">
        <v>1980</v>
      </c>
      <c r="E125" s="395">
        <v>100</v>
      </c>
      <c r="F125" s="396">
        <v>4</v>
      </c>
      <c r="G125" s="38"/>
      <c r="H125" s="482" t="s">
        <v>448</v>
      </c>
    </row>
    <row r="126" spans="1:8" ht="15.75">
      <c r="B126" s="102" t="s">
        <v>289</v>
      </c>
      <c r="C126" s="773" t="s">
        <v>218</v>
      </c>
      <c r="D126" s="407">
        <v>1967</v>
      </c>
      <c r="E126" s="395"/>
      <c r="F126" s="396"/>
      <c r="G126" s="38"/>
      <c r="H126" s="88"/>
    </row>
    <row r="127" spans="1:8" ht="15.75">
      <c r="B127" s="1049" t="s">
        <v>293</v>
      </c>
      <c r="C127" s="773" t="s">
        <v>13</v>
      </c>
      <c r="D127" s="394">
        <v>1959</v>
      </c>
      <c r="E127" s="395">
        <v>100</v>
      </c>
      <c r="F127" s="396">
        <v>4</v>
      </c>
      <c r="G127" s="38"/>
      <c r="H127" s="88"/>
    </row>
    <row r="131" spans="2:9" ht="38.25">
      <c r="D131" s="389" t="s">
        <v>201</v>
      </c>
      <c r="E131" s="389" t="s">
        <v>202</v>
      </c>
      <c r="F131" s="391" t="s">
        <v>203</v>
      </c>
      <c r="G131" s="389" t="s">
        <v>204</v>
      </c>
      <c r="H131" s="1037" t="s">
        <v>205</v>
      </c>
      <c r="I131" s="1" t="s">
        <v>224</v>
      </c>
    </row>
    <row r="132" spans="2:9">
      <c r="B132" s="1036" t="s">
        <v>302</v>
      </c>
      <c r="C132" s="400" t="s">
        <v>414</v>
      </c>
      <c r="D132" s="36"/>
      <c r="E132" s="37"/>
      <c r="F132" s="38"/>
      <c r="G132" s="38"/>
      <c r="H132" s="39"/>
      <c r="I132" s="780">
        <v>33</v>
      </c>
    </row>
    <row r="133" spans="2:9">
      <c r="B133" s="200" t="s">
        <v>299</v>
      </c>
      <c r="C133" s="401" t="s">
        <v>223</v>
      </c>
      <c r="D133" s="394"/>
      <c r="E133" s="395"/>
      <c r="F133" s="360"/>
      <c r="G133" s="360"/>
      <c r="H133" s="397"/>
      <c r="I133" s="780">
        <v>6</v>
      </c>
    </row>
    <row r="134" spans="2:9" ht="15.75">
      <c r="B134" s="102" t="s">
        <v>255</v>
      </c>
      <c r="C134" s="398" t="s">
        <v>353</v>
      </c>
      <c r="D134" s="394"/>
      <c r="E134" s="544"/>
      <c r="F134" s="396"/>
      <c r="G134" s="38"/>
      <c r="H134" s="39"/>
      <c r="I134" s="780">
        <v>2</v>
      </c>
    </row>
    <row r="135" spans="2:9" ht="15.75">
      <c r="B135" s="214" t="s">
        <v>256</v>
      </c>
      <c r="C135" s="403" t="s">
        <v>14</v>
      </c>
      <c r="D135" s="36"/>
      <c r="E135" s="167"/>
      <c r="F135" s="38"/>
      <c r="G135" s="38"/>
      <c r="H135" s="39"/>
      <c r="I135" s="780">
        <v>1</v>
      </c>
    </row>
    <row r="136" spans="2:9" ht="15.75">
      <c r="B136" s="102" t="s">
        <v>258</v>
      </c>
      <c r="C136" s="398" t="s">
        <v>466</v>
      </c>
      <c r="D136" s="394">
        <v>1962</v>
      </c>
      <c r="E136" s="544">
        <v>100</v>
      </c>
      <c r="F136" s="396" t="s">
        <v>471</v>
      </c>
      <c r="G136" s="38"/>
      <c r="H136" s="39"/>
      <c r="I136" s="780">
        <v>3</v>
      </c>
    </row>
    <row r="137" spans="2:9" ht="15.75">
      <c r="B137" s="102" t="s">
        <v>259</v>
      </c>
      <c r="C137" s="398" t="s">
        <v>14</v>
      </c>
      <c r="D137" s="36"/>
      <c r="E137" s="544">
        <v>100</v>
      </c>
      <c r="F137" s="38"/>
      <c r="G137" s="38"/>
      <c r="H137" s="39"/>
      <c r="I137" s="780">
        <v>1</v>
      </c>
    </row>
    <row r="138" spans="2:9" ht="15.75">
      <c r="B138" s="409" t="s">
        <v>260</v>
      </c>
      <c r="C138" s="398" t="s">
        <v>466</v>
      </c>
      <c r="D138" s="36"/>
      <c r="E138" s="395"/>
      <c r="F138" s="396" t="s">
        <v>474</v>
      </c>
      <c r="G138" s="38"/>
      <c r="H138" s="39"/>
      <c r="I138" s="780">
        <v>3</v>
      </c>
    </row>
    <row r="139" spans="2:9" ht="15.75">
      <c r="B139" s="102" t="s">
        <v>262</v>
      </c>
      <c r="C139" s="398" t="s">
        <v>451</v>
      </c>
      <c r="D139" s="407"/>
      <c r="E139" s="395"/>
      <c r="F139" s="396"/>
      <c r="G139" s="396"/>
      <c r="H139" s="397"/>
      <c r="I139" s="780">
        <v>5</v>
      </c>
    </row>
    <row r="140" spans="2:9" ht="15.75">
      <c r="B140" s="102" t="s">
        <v>263</v>
      </c>
      <c r="C140" s="398" t="s">
        <v>422</v>
      </c>
      <c r="D140" s="394"/>
      <c r="E140" s="395"/>
      <c r="F140" s="396"/>
      <c r="G140" s="396"/>
      <c r="H140" s="397"/>
      <c r="I140" s="780">
        <v>2</v>
      </c>
    </row>
    <row r="141" spans="2:9" ht="15.75">
      <c r="B141" s="102" t="s">
        <v>265</v>
      </c>
      <c r="C141" s="398" t="s">
        <v>883</v>
      </c>
      <c r="D141" s="36"/>
      <c r="E141" s="37"/>
      <c r="F141" s="410"/>
      <c r="G141" s="47"/>
      <c r="H141" s="397"/>
      <c r="I141" s="780">
        <v>4</v>
      </c>
    </row>
    <row r="142" spans="2:9" ht="15.75">
      <c r="B142" s="102" t="s">
        <v>266</v>
      </c>
      <c r="C142" s="398">
        <v>2</v>
      </c>
      <c r="D142" s="36"/>
      <c r="E142" s="37"/>
      <c r="F142" s="410"/>
      <c r="G142" s="47"/>
      <c r="H142" s="397"/>
      <c r="I142" s="780">
        <v>2</v>
      </c>
    </row>
    <row r="143" spans="2:9" ht="15.75">
      <c r="B143" s="409" t="s">
        <v>268</v>
      </c>
      <c r="C143" s="398" t="s">
        <v>14</v>
      </c>
      <c r="D143" s="407"/>
      <c r="E143" s="395"/>
      <c r="F143" s="408" t="s">
        <v>486</v>
      </c>
      <c r="G143" s="396"/>
      <c r="H143" s="397"/>
      <c r="I143" s="780">
        <v>1</v>
      </c>
    </row>
    <row r="144" spans="2:9" ht="15.75">
      <c r="B144" s="409" t="s">
        <v>269</v>
      </c>
      <c r="C144" s="398" t="s">
        <v>14</v>
      </c>
      <c r="D144" s="407">
        <v>1953</v>
      </c>
      <c r="E144" s="395"/>
      <c r="F144" s="408" t="s">
        <v>487</v>
      </c>
      <c r="G144" s="396"/>
      <c r="H144" s="397"/>
      <c r="I144" s="780">
        <v>1</v>
      </c>
    </row>
    <row r="145" spans="2:9" ht="15.75">
      <c r="B145" s="409" t="s">
        <v>270</v>
      </c>
      <c r="C145" s="398" t="s">
        <v>14</v>
      </c>
      <c r="D145" s="407">
        <v>1960</v>
      </c>
      <c r="E145" s="395">
        <v>100</v>
      </c>
      <c r="F145" s="486" t="s">
        <v>488</v>
      </c>
      <c r="G145" s="396"/>
      <c r="H145" s="397"/>
      <c r="I145" s="780">
        <v>1</v>
      </c>
    </row>
    <row r="146" spans="2:9" ht="15.75">
      <c r="B146" s="409" t="s">
        <v>272</v>
      </c>
      <c r="C146" s="398" t="s">
        <v>422</v>
      </c>
      <c r="D146" s="36"/>
      <c r="E146" s="37"/>
      <c r="F146" s="38"/>
      <c r="G146" s="38"/>
      <c r="H146" s="397"/>
      <c r="I146" s="780">
        <v>2</v>
      </c>
    </row>
    <row r="147" spans="2:9" ht="15.75">
      <c r="B147" s="409" t="s">
        <v>273</v>
      </c>
      <c r="C147" s="398" t="s">
        <v>171</v>
      </c>
      <c r="D147" s="36"/>
      <c r="E147" s="37"/>
      <c r="F147" s="38"/>
      <c r="G147" s="38"/>
      <c r="H147" s="397"/>
      <c r="I147" s="780">
        <v>2</v>
      </c>
    </row>
    <row r="148" spans="2:9" ht="15.75">
      <c r="B148" s="409" t="s">
        <v>274</v>
      </c>
      <c r="C148" s="398" t="s">
        <v>352</v>
      </c>
      <c r="D148" s="36"/>
      <c r="E148" s="37"/>
      <c r="F148" s="38"/>
      <c r="G148" s="38"/>
      <c r="H148" s="397"/>
      <c r="I148" s="780">
        <v>3</v>
      </c>
    </row>
    <row r="149" spans="2:9" ht="15.75">
      <c r="B149" s="409" t="s">
        <v>275</v>
      </c>
      <c r="C149" s="398" t="s">
        <v>352</v>
      </c>
      <c r="D149" s="168"/>
      <c r="E149" s="37"/>
      <c r="F149" s="38"/>
      <c r="G149" s="38"/>
      <c r="H149" s="397"/>
      <c r="I149" s="780">
        <v>3</v>
      </c>
    </row>
    <row r="150" spans="2:9" ht="15.75">
      <c r="B150" s="409" t="s">
        <v>276</v>
      </c>
      <c r="C150" s="398" t="s">
        <v>446</v>
      </c>
      <c r="D150" s="168"/>
      <c r="E150" s="37"/>
      <c r="F150" s="38"/>
      <c r="G150" s="38"/>
      <c r="H150" s="397"/>
      <c r="I150" s="780">
        <v>1</v>
      </c>
    </row>
    <row r="151" spans="2:9" ht="15.75">
      <c r="B151" s="102" t="s">
        <v>278</v>
      </c>
      <c r="C151" s="398" t="s">
        <v>352</v>
      </c>
      <c r="D151" s="407"/>
      <c r="E151" s="395"/>
      <c r="F151" s="396"/>
      <c r="G151" s="38"/>
      <c r="H151" s="397"/>
      <c r="I151" s="780">
        <v>3</v>
      </c>
    </row>
    <row r="152" spans="2:9" ht="15.75">
      <c r="B152" s="102" t="s">
        <v>279</v>
      </c>
      <c r="C152" s="398" t="s">
        <v>14</v>
      </c>
      <c r="D152" s="407"/>
      <c r="E152" s="395"/>
      <c r="F152" s="408"/>
      <c r="G152" s="38"/>
      <c r="H152" s="397"/>
      <c r="I152" s="780">
        <v>1</v>
      </c>
    </row>
    <row r="153" spans="2:9" ht="15.75">
      <c r="B153" s="102" t="s">
        <v>280</v>
      </c>
      <c r="C153" s="398" t="s">
        <v>14</v>
      </c>
      <c r="D153" s="331"/>
      <c r="E153" s="331"/>
      <c r="F153" s="331"/>
      <c r="G153" s="20"/>
      <c r="H153" s="1090"/>
      <c r="I153" s="780">
        <v>1</v>
      </c>
    </row>
    <row r="154" spans="2:9" ht="15.75">
      <c r="B154" s="102" t="s">
        <v>282</v>
      </c>
      <c r="C154" s="398" t="s">
        <v>353</v>
      </c>
      <c r="D154" s="407"/>
      <c r="E154" s="395"/>
      <c r="F154" s="396"/>
      <c r="G154" s="38"/>
      <c r="H154" s="397"/>
      <c r="I154" s="780">
        <v>2</v>
      </c>
    </row>
    <row r="155" spans="2:9" ht="15.75">
      <c r="B155" s="409" t="s">
        <v>284</v>
      </c>
      <c r="C155" s="398" t="s">
        <v>881</v>
      </c>
      <c r="D155" s="407"/>
      <c r="E155" s="395"/>
      <c r="F155" s="396"/>
      <c r="G155" s="38"/>
      <c r="H155" s="397"/>
      <c r="I155" s="780">
        <v>4</v>
      </c>
    </row>
    <row r="156" spans="2:9" ht="15.75">
      <c r="B156" s="409" t="s">
        <v>285</v>
      </c>
      <c r="C156" s="398" t="s">
        <v>882</v>
      </c>
      <c r="D156" s="407"/>
      <c r="E156" s="395"/>
      <c r="F156" s="396"/>
      <c r="G156" s="38"/>
      <c r="H156" s="397"/>
      <c r="I156" s="780">
        <v>2</v>
      </c>
    </row>
    <row r="157" spans="2:9" ht="15.75">
      <c r="B157" s="409" t="s">
        <v>289</v>
      </c>
      <c r="C157" s="398" t="s">
        <v>451</v>
      </c>
      <c r="D157" s="407"/>
      <c r="E157" s="395"/>
      <c r="F157" s="396" t="s">
        <v>498</v>
      </c>
      <c r="G157" s="396"/>
      <c r="H157" s="397"/>
      <c r="I157" s="780">
        <v>5</v>
      </c>
    </row>
    <row r="158" spans="2:9" ht="15.75">
      <c r="B158" s="409" t="s">
        <v>291</v>
      </c>
      <c r="C158" s="398" t="s">
        <v>14</v>
      </c>
      <c r="D158" s="394"/>
      <c r="E158" s="395"/>
      <c r="F158" s="396"/>
      <c r="G158" s="396"/>
      <c r="H158" s="397"/>
      <c r="I158" s="780">
        <v>1</v>
      </c>
    </row>
    <row r="159" spans="2:9" ht="15.75">
      <c r="B159" s="409" t="s">
        <v>293</v>
      </c>
      <c r="C159" s="398" t="s">
        <v>364</v>
      </c>
      <c r="D159" s="36"/>
      <c r="E159" s="395"/>
      <c r="F159" s="396"/>
      <c r="G159" s="396"/>
      <c r="H159" s="396">
        <v>14</v>
      </c>
      <c r="I159" s="780">
        <v>5</v>
      </c>
    </row>
    <row r="160" spans="2:9" ht="15.75">
      <c r="B160" s="409" t="s">
        <v>295</v>
      </c>
      <c r="C160" s="398" t="s">
        <v>362</v>
      </c>
      <c r="D160" s="407"/>
      <c r="E160" s="395"/>
      <c r="F160" s="396"/>
      <c r="G160" s="38"/>
      <c r="H160" s="396">
        <v>4</v>
      </c>
      <c r="I160" s="780">
        <v>4</v>
      </c>
    </row>
    <row r="161" spans="2:9" ht="15.75">
      <c r="B161" s="409" t="s">
        <v>296</v>
      </c>
      <c r="C161" s="441" t="s">
        <v>353</v>
      </c>
      <c r="D161" s="394"/>
      <c r="E161" s="395"/>
      <c r="F161" s="396"/>
      <c r="G161" s="396"/>
      <c r="H161" s="396">
        <v>2</v>
      </c>
      <c r="I161" s="780">
        <v>2</v>
      </c>
    </row>
    <row r="162" spans="2:9">
      <c r="B162" s="743"/>
      <c r="C162" s="743"/>
      <c r="D162" s="743"/>
      <c r="E162" s="743"/>
      <c r="F162" s="743"/>
      <c r="G162" s="743"/>
      <c r="H162" s="743"/>
      <c r="I162" s="1091">
        <f>SUM(I132:I161)</f>
        <v>106</v>
      </c>
    </row>
    <row r="166" spans="2:9" ht="25.5">
      <c r="B166" s="1036" t="s">
        <v>302</v>
      </c>
      <c r="C166" s="400" t="s">
        <v>402</v>
      </c>
      <c r="D166" s="394">
        <v>1983</v>
      </c>
      <c r="E166" s="395">
        <v>70</v>
      </c>
      <c r="F166" s="396"/>
      <c r="G166" s="38"/>
      <c r="H166" s="38"/>
      <c r="I166" s="88"/>
    </row>
    <row r="167" spans="2:9">
      <c r="B167" s="1036" t="s">
        <v>302</v>
      </c>
      <c r="C167" s="400" t="s">
        <v>541</v>
      </c>
      <c r="D167" s="394">
        <v>1971</v>
      </c>
      <c r="E167" s="395">
        <v>45</v>
      </c>
      <c r="F167" s="396"/>
      <c r="G167" s="38"/>
      <c r="H167" s="38"/>
      <c r="I167" s="88"/>
    </row>
    <row r="168" spans="2:9">
      <c r="B168" s="200" t="s">
        <v>299</v>
      </c>
      <c r="C168" s="401" t="s">
        <v>354</v>
      </c>
      <c r="D168" s="394">
        <v>1985</v>
      </c>
      <c r="E168" s="395">
        <v>90</v>
      </c>
      <c r="F168" s="360"/>
      <c r="G168" s="396">
        <v>9</v>
      </c>
      <c r="H168" s="38"/>
      <c r="I168" s="88"/>
    </row>
    <row r="169" spans="2:9" ht="15.75">
      <c r="B169" s="102" t="s">
        <v>255</v>
      </c>
      <c r="C169" s="398" t="s">
        <v>212</v>
      </c>
      <c r="D169" s="394"/>
      <c r="E169" s="544">
        <v>60</v>
      </c>
      <c r="F169" s="396"/>
      <c r="G169" s="38"/>
      <c r="H169" s="38"/>
      <c r="I169" s="88"/>
    </row>
    <row r="170" spans="2:9" ht="15.75">
      <c r="B170" s="102" t="s">
        <v>258</v>
      </c>
      <c r="C170" s="398" t="s">
        <v>212</v>
      </c>
      <c r="D170" s="394">
        <v>1975</v>
      </c>
      <c r="E170" s="544">
        <v>100</v>
      </c>
      <c r="F170" s="38"/>
      <c r="G170" s="38"/>
      <c r="H170" s="38"/>
      <c r="I170" s="358" t="s">
        <v>880</v>
      </c>
    </row>
    <row r="171" spans="2:9" ht="15.75">
      <c r="B171" s="102" t="s">
        <v>262</v>
      </c>
      <c r="C171" s="398" t="s">
        <v>212</v>
      </c>
      <c r="D171" s="407">
        <v>1970</v>
      </c>
      <c r="E171" s="395">
        <v>100</v>
      </c>
      <c r="F171" s="396" t="s">
        <v>430</v>
      </c>
      <c r="G171" s="396">
        <v>6</v>
      </c>
      <c r="H171" s="396">
        <v>1</v>
      </c>
      <c r="I171" s="358" t="s">
        <v>880</v>
      </c>
    </row>
    <row r="172" spans="2:9" ht="15.75">
      <c r="B172" s="102" t="s">
        <v>265</v>
      </c>
      <c r="C172" s="398" t="s">
        <v>212</v>
      </c>
      <c r="D172" s="36"/>
      <c r="E172" s="395">
        <v>20</v>
      </c>
      <c r="F172" s="410"/>
      <c r="G172" s="396">
        <v>5</v>
      </c>
      <c r="H172" s="38"/>
      <c r="I172" s="88"/>
    </row>
    <row r="173" spans="2:9" ht="15.75">
      <c r="B173" s="409" t="s">
        <v>268</v>
      </c>
      <c r="C173" s="398" t="s">
        <v>212</v>
      </c>
      <c r="D173" s="407">
        <v>1988</v>
      </c>
      <c r="E173" s="395">
        <v>62</v>
      </c>
      <c r="F173" s="408"/>
      <c r="G173" s="396">
        <v>5</v>
      </c>
      <c r="H173" s="396"/>
      <c r="I173" s="88"/>
    </row>
    <row r="174" spans="2:9" ht="15.75">
      <c r="B174" s="409" t="s">
        <v>272</v>
      </c>
      <c r="C174" s="398" t="s">
        <v>212</v>
      </c>
      <c r="D174" s="394">
        <v>1974</v>
      </c>
      <c r="E174" s="37"/>
      <c r="F174" s="121" t="s">
        <v>423</v>
      </c>
      <c r="G174" s="396">
        <v>8</v>
      </c>
      <c r="H174" s="38"/>
      <c r="I174" s="358" t="s">
        <v>880</v>
      </c>
    </row>
    <row r="175" spans="2:9" ht="15.75">
      <c r="B175" s="102" t="s">
        <v>278</v>
      </c>
      <c r="C175" s="398" t="s">
        <v>212</v>
      </c>
      <c r="D175" s="407">
        <v>1972</v>
      </c>
      <c r="E175" s="395">
        <v>100</v>
      </c>
      <c r="F175" s="396"/>
      <c r="G175" s="396">
        <v>6</v>
      </c>
      <c r="H175" s="38"/>
      <c r="I175" s="88"/>
    </row>
    <row r="176" spans="2:9" ht="15.75">
      <c r="B176" s="409" t="s">
        <v>284</v>
      </c>
      <c r="C176" s="398" t="s">
        <v>212</v>
      </c>
      <c r="D176" s="394">
        <v>1968</v>
      </c>
      <c r="E176" s="395">
        <v>100</v>
      </c>
      <c r="F176" s="482" t="s">
        <v>448</v>
      </c>
      <c r="G176" s="396">
        <v>7</v>
      </c>
      <c r="H176" s="38"/>
    </row>
    <row r="177" spans="2:9" ht="15.75">
      <c r="B177" s="409" t="s">
        <v>289</v>
      </c>
      <c r="C177" s="398" t="s">
        <v>212</v>
      </c>
      <c r="D177" s="407">
        <v>1967</v>
      </c>
      <c r="E177" s="395">
        <v>65</v>
      </c>
      <c r="F177" s="557" t="s">
        <v>361</v>
      </c>
      <c r="G177" s="396">
        <v>8</v>
      </c>
      <c r="H177" s="38"/>
      <c r="I177" s="88"/>
    </row>
    <row r="178" spans="2:9" ht="15.75">
      <c r="B178" s="409" t="s">
        <v>293</v>
      </c>
      <c r="C178" s="398" t="s">
        <v>212</v>
      </c>
      <c r="D178" s="394">
        <v>1978</v>
      </c>
      <c r="E178" s="395">
        <v>100</v>
      </c>
      <c r="F178" s="396"/>
      <c r="G178" s="38"/>
      <c r="H178" s="38"/>
      <c r="I178" s="88"/>
    </row>
    <row r="182" spans="2:9">
      <c r="B182" s="1099" t="s">
        <v>302</v>
      </c>
      <c r="C182" s="400" t="s">
        <v>339</v>
      </c>
      <c r="D182" s="38">
        <v>10</v>
      </c>
    </row>
    <row r="183" spans="2:9">
      <c r="B183" s="200" t="s">
        <v>299</v>
      </c>
      <c r="C183" s="401" t="s">
        <v>339</v>
      </c>
      <c r="D183" s="297" t="s">
        <v>356</v>
      </c>
    </row>
    <row r="184" spans="2:9">
      <c r="B184" s="200" t="s">
        <v>225</v>
      </c>
      <c r="C184" s="401" t="s">
        <v>339</v>
      </c>
      <c r="D184" s="411" t="s">
        <v>357</v>
      </c>
    </row>
    <row r="185" spans="2:9">
      <c r="B185" s="200" t="s">
        <v>301</v>
      </c>
      <c r="C185" s="401" t="s">
        <v>339</v>
      </c>
      <c r="D185" s="408" t="s">
        <v>357</v>
      </c>
    </row>
    <row r="186" spans="2:9">
      <c r="B186" s="200" t="s">
        <v>300</v>
      </c>
      <c r="C186" s="401" t="s">
        <v>339</v>
      </c>
      <c r="D186" s="396" t="s">
        <v>358</v>
      </c>
    </row>
    <row r="187" spans="2:9" ht="15.75">
      <c r="B187" s="102" t="s">
        <v>258</v>
      </c>
      <c r="C187" s="398" t="s">
        <v>339</v>
      </c>
      <c r="D187" s="396" t="s">
        <v>467</v>
      </c>
    </row>
    <row r="188" spans="2:9" ht="15.75">
      <c r="B188" s="102" t="s">
        <v>259</v>
      </c>
      <c r="C188" s="398" t="s">
        <v>339</v>
      </c>
      <c r="D188" s="396" t="s">
        <v>358</v>
      </c>
    </row>
    <row r="189" spans="2:9" ht="15.75">
      <c r="B189" s="102" t="s">
        <v>260</v>
      </c>
      <c r="C189" s="398" t="s">
        <v>339</v>
      </c>
      <c r="D189" s="396" t="s">
        <v>468</v>
      </c>
    </row>
    <row r="190" spans="2:9" ht="15.75">
      <c r="B190" s="102" t="s">
        <v>262</v>
      </c>
      <c r="C190" s="398" t="s">
        <v>339</v>
      </c>
      <c r="D190" s="396" t="s">
        <v>481</v>
      </c>
    </row>
    <row r="191" spans="2:9" ht="15.75">
      <c r="B191" s="102" t="s">
        <v>268</v>
      </c>
      <c r="C191" s="398" t="s">
        <v>339</v>
      </c>
      <c r="D191" s="408" t="s">
        <v>343</v>
      </c>
    </row>
    <row r="192" spans="2:9" ht="15.75">
      <c r="B192" s="102" t="s">
        <v>272</v>
      </c>
      <c r="C192" s="398" t="s">
        <v>492</v>
      </c>
      <c r="D192" s="490" t="s">
        <v>491</v>
      </c>
    </row>
    <row r="193" spans="2:6" ht="15.75">
      <c r="B193" s="102" t="s">
        <v>273</v>
      </c>
      <c r="C193" s="398" t="s">
        <v>339</v>
      </c>
      <c r="D193" s="396" t="s">
        <v>445</v>
      </c>
    </row>
    <row r="194" spans="2:6" ht="15.75">
      <c r="B194" s="102" t="s">
        <v>274</v>
      </c>
      <c r="C194" s="398" t="s">
        <v>339</v>
      </c>
      <c r="D194" s="396" t="s">
        <v>442</v>
      </c>
    </row>
    <row r="195" spans="2:6" ht="15.75">
      <c r="B195" s="102" t="s">
        <v>275</v>
      </c>
      <c r="C195" s="398" t="s">
        <v>339</v>
      </c>
      <c r="D195" s="396" t="s">
        <v>442</v>
      </c>
    </row>
    <row r="196" spans="2:6" ht="15.75">
      <c r="B196" s="102" t="s">
        <v>276</v>
      </c>
      <c r="C196" s="398" t="s">
        <v>339</v>
      </c>
      <c r="D196" s="396" t="s">
        <v>445</v>
      </c>
    </row>
    <row r="197" spans="2:6" ht="15.75">
      <c r="B197" s="102" t="s">
        <v>278</v>
      </c>
      <c r="C197" s="398" t="s">
        <v>339</v>
      </c>
      <c r="D197" s="396" t="s">
        <v>494</v>
      </c>
    </row>
    <row r="198" spans="2:6" ht="15.75">
      <c r="B198" s="102" t="s">
        <v>279</v>
      </c>
      <c r="C198" s="398" t="s">
        <v>339</v>
      </c>
      <c r="D198" s="1092"/>
      <c r="F198">
        <f>10-7.5</f>
        <v>2.5</v>
      </c>
    </row>
    <row r="199" spans="2:6" ht="15.75">
      <c r="B199" s="102" t="s">
        <v>280</v>
      </c>
      <c r="C199" s="398" t="s">
        <v>339</v>
      </c>
      <c r="D199" s="1093"/>
    </row>
    <row r="200" spans="2:6" ht="15.75">
      <c r="B200" s="102" t="s">
        <v>282</v>
      </c>
      <c r="C200" s="398" t="s">
        <v>339</v>
      </c>
      <c r="D200" s="1094"/>
    </row>
    <row r="201" spans="2:6" ht="15.75">
      <c r="B201" s="102" t="s">
        <v>284</v>
      </c>
      <c r="C201" s="398" t="s">
        <v>339</v>
      </c>
      <c r="D201" s="396" t="s">
        <v>356</v>
      </c>
    </row>
    <row r="202" spans="2:6" ht="15.75">
      <c r="B202" s="102" t="s">
        <v>289</v>
      </c>
      <c r="C202" s="398" t="s">
        <v>339</v>
      </c>
      <c r="D202" s="415" t="s">
        <v>495</v>
      </c>
    </row>
    <row r="203" spans="2:6" ht="15.75">
      <c r="B203" s="102" t="s">
        <v>293</v>
      </c>
      <c r="C203" s="398" t="s">
        <v>339</v>
      </c>
      <c r="D203" s="396" t="s">
        <v>357</v>
      </c>
    </row>
    <row r="204" spans="2:6" ht="31.5">
      <c r="B204" s="102" t="s">
        <v>294</v>
      </c>
      <c r="C204" s="398" t="s">
        <v>339</v>
      </c>
      <c r="D204" s="411" t="s">
        <v>358</v>
      </c>
    </row>
    <row r="205" spans="2:6" ht="15.75">
      <c r="B205" s="102" t="s">
        <v>295</v>
      </c>
      <c r="C205" s="398" t="s">
        <v>339</v>
      </c>
      <c r="D205" s="396" t="s">
        <v>358</v>
      </c>
    </row>
    <row r="206" spans="2:6" ht="15.75">
      <c r="B206" s="102" t="s">
        <v>296</v>
      </c>
      <c r="C206" s="441" t="s">
        <v>339</v>
      </c>
      <c r="D206" s="396" t="s">
        <v>358</v>
      </c>
    </row>
    <row r="210" spans="2:9">
      <c r="B210" s="326" t="s">
        <v>302</v>
      </c>
      <c r="C210" s="400" t="s">
        <v>10</v>
      </c>
      <c r="D210" s="394">
        <v>1958</v>
      </c>
      <c r="E210" s="395">
        <v>80</v>
      </c>
      <c r="F210" s="396"/>
      <c r="G210" s="411" t="s">
        <v>417</v>
      </c>
      <c r="H210" s="396"/>
      <c r="I210" s="88"/>
    </row>
    <row r="211" spans="2:9">
      <c r="B211" s="200" t="s">
        <v>299</v>
      </c>
      <c r="C211" s="568" t="s">
        <v>10</v>
      </c>
      <c r="D211" s="394">
        <v>1985</v>
      </c>
      <c r="E211" s="395">
        <v>90</v>
      </c>
      <c r="F211" s="360" t="s">
        <v>433</v>
      </c>
      <c r="G211" s="360"/>
      <c r="H211" s="396"/>
      <c r="I211" s="88"/>
    </row>
    <row r="212" spans="2:9" ht="15.75">
      <c r="B212" s="1102" t="s">
        <v>255</v>
      </c>
      <c r="C212" s="569" t="s">
        <v>10</v>
      </c>
      <c r="D212" s="394"/>
      <c r="E212" s="544">
        <v>60</v>
      </c>
      <c r="F212" s="396">
        <v>21000</v>
      </c>
      <c r="G212" s="38"/>
      <c r="H212" s="38"/>
      <c r="I212" s="88"/>
    </row>
    <row r="213" spans="2:9" ht="15.75">
      <c r="B213" s="1103" t="s">
        <v>256</v>
      </c>
      <c r="C213" s="1104" t="s">
        <v>10</v>
      </c>
      <c r="D213" s="36"/>
      <c r="E213" s="544">
        <v>60</v>
      </c>
      <c r="F213" s="38"/>
      <c r="G213" s="38"/>
      <c r="H213" s="38"/>
      <c r="I213" s="88"/>
    </row>
    <row r="214" spans="2:9" ht="15.75">
      <c r="B214" s="1102" t="s">
        <v>258</v>
      </c>
      <c r="C214" s="569" t="s">
        <v>10</v>
      </c>
      <c r="D214" s="394">
        <v>1962</v>
      </c>
      <c r="E214" s="544">
        <v>100</v>
      </c>
      <c r="F214" s="396" t="s">
        <v>471</v>
      </c>
      <c r="G214" s="38"/>
      <c r="H214" s="38"/>
      <c r="I214" s="88"/>
    </row>
    <row r="215" spans="2:9" ht="15.75">
      <c r="B215" s="1102" t="s">
        <v>260</v>
      </c>
      <c r="C215" s="569" t="s">
        <v>10</v>
      </c>
      <c r="D215" s="394">
        <v>1989</v>
      </c>
      <c r="E215" s="395">
        <v>72</v>
      </c>
      <c r="F215" s="557" t="s">
        <v>473</v>
      </c>
      <c r="G215" s="38"/>
      <c r="H215" s="38"/>
      <c r="I215" s="88"/>
    </row>
    <row r="216" spans="2:9" ht="15.75">
      <c r="B216" s="1102" t="s">
        <v>262</v>
      </c>
      <c r="C216" s="569" t="s">
        <v>10</v>
      </c>
      <c r="D216" s="407">
        <v>1989</v>
      </c>
      <c r="E216" s="395">
        <v>100</v>
      </c>
      <c r="F216" s="554" t="s">
        <v>484</v>
      </c>
      <c r="G216" s="396"/>
      <c r="H216" s="396">
        <v>2</v>
      </c>
      <c r="I216" s="358" t="s">
        <v>430</v>
      </c>
    </row>
    <row r="217" spans="2:9" ht="15.75">
      <c r="B217" s="1102" t="s">
        <v>263</v>
      </c>
      <c r="C217" s="569" t="s">
        <v>10</v>
      </c>
      <c r="D217" s="394">
        <v>1968</v>
      </c>
      <c r="E217" s="395">
        <v>100</v>
      </c>
      <c r="F217" s="411" t="s">
        <v>429</v>
      </c>
      <c r="G217" s="396"/>
      <c r="H217" s="396">
        <v>1</v>
      </c>
      <c r="I217" s="358" t="s">
        <v>430</v>
      </c>
    </row>
    <row r="218" spans="2:9" ht="15.75">
      <c r="B218" s="1102" t="s">
        <v>265</v>
      </c>
      <c r="C218" s="569" t="s">
        <v>10</v>
      </c>
      <c r="D218" s="36"/>
      <c r="E218" s="37"/>
      <c r="F218" s="47">
        <v>10000</v>
      </c>
      <c r="G218" s="47"/>
      <c r="H218" s="396">
        <v>2</v>
      </c>
      <c r="I218" s="88"/>
    </row>
    <row r="219" spans="2:9" ht="15.75">
      <c r="B219" s="1102" t="s">
        <v>266</v>
      </c>
      <c r="C219" s="569" t="s">
        <v>10</v>
      </c>
      <c r="D219" s="36"/>
      <c r="E219" s="167"/>
      <c r="F219" s="38"/>
      <c r="G219" s="38"/>
      <c r="H219" s="396">
        <v>1</v>
      </c>
      <c r="I219" s="88"/>
    </row>
    <row r="220" spans="2:9" ht="15.75">
      <c r="B220" s="1102" t="s">
        <v>268</v>
      </c>
      <c r="C220" s="569" t="s">
        <v>10</v>
      </c>
      <c r="D220" s="407">
        <v>1952</v>
      </c>
      <c r="E220" s="395">
        <v>100</v>
      </c>
      <c r="F220" s="556" t="s">
        <v>344</v>
      </c>
      <c r="G220" s="396"/>
      <c r="H220" s="396">
        <v>1</v>
      </c>
      <c r="I220" s="88"/>
    </row>
    <row r="221" spans="2:9" ht="15.75">
      <c r="B221" s="1102" t="s">
        <v>272</v>
      </c>
      <c r="C221" s="569" t="s">
        <v>10</v>
      </c>
      <c r="D221" s="36"/>
      <c r="E221" s="37"/>
      <c r="F221" s="411" t="s">
        <v>435</v>
      </c>
      <c r="G221" s="38"/>
      <c r="H221" s="396"/>
      <c r="I221" s="88"/>
    </row>
    <row r="222" spans="2:9" ht="15.75">
      <c r="B222" s="1102" t="s">
        <v>274</v>
      </c>
      <c r="C222" s="569" t="s">
        <v>10</v>
      </c>
      <c r="D222" s="394">
        <v>1955</v>
      </c>
      <c r="E222" s="37"/>
      <c r="F222" s="411" t="s">
        <v>439</v>
      </c>
      <c r="G222" s="38"/>
      <c r="H222" s="396"/>
      <c r="I222" s="88"/>
    </row>
    <row r="223" spans="2:9" ht="15.75">
      <c r="B223" s="1102" t="s">
        <v>275</v>
      </c>
      <c r="C223" s="569" t="s">
        <v>10</v>
      </c>
      <c r="D223" s="394">
        <v>1965</v>
      </c>
      <c r="E223" s="395"/>
      <c r="F223" s="411" t="s">
        <v>447</v>
      </c>
      <c r="G223" s="396"/>
      <c r="H223" s="396"/>
      <c r="I223" s="88"/>
    </row>
    <row r="224" spans="2:9" ht="15.75">
      <c r="B224" s="1102" t="s">
        <v>278</v>
      </c>
      <c r="C224" s="569" t="s">
        <v>10</v>
      </c>
      <c r="D224" s="407">
        <v>1983</v>
      </c>
      <c r="E224" s="395">
        <v>100</v>
      </c>
      <c r="F224" s="396"/>
      <c r="G224" s="38"/>
      <c r="H224" s="396">
        <v>1</v>
      </c>
      <c r="I224" s="88"/>
    </row>
    <row r="225" spans="2:9" ht="15.75">
      <c r="B225" s="1102" t="s">
        <v>279</v>
      </c>
      <c r="C225" s="569" t="s">
        <v>10</v>
      </c>
      <c r="D225" s="407">
        <v>1958</v>
      </c>
      <c r="E225" s="395">
        <v>100</v>
      </c>
      <c r="F225" s="408"/>
      <c r="G225" s="38"/>
      <c r="H225" s="396">
        <v>1</v>
      </c>
      <c r="I225" s="88"/>
    </row>
    <row r="226" spans="2:9" ht="15.75">
      <c r="B226" s="1102" t="s">
        <v>280</v>
      </c>
      <c r="C226" s="569" t="s">
        <v>10</v>
      </c>
      <c r="D226" s="331">
        <v>1992</v>
      </c>
      <c r="E226" s="331">
        <v>100</v>
      </c>
      <c r="F226" s="331"/>
      <c r="G226" s="20"/>
      <c r="H226" s="330">
        <v>1</v>
      </c>
      <c r="I226" s="88"/>
    </row>
    <row r="227" spans="2:9" ht="15.75">
      <c r="B227" s="1102" t="s">
        <v>282</v>
      </c>
      <c r="C227" s="569" t="s">
        <v>10</v>
      </c>
      <c r="D227" s="395">
        <v>1957</v>
      </c>
      <c r="E227" s="395"/>
      <c r="F227" s="408">
        <v>100</v>
      </c>
      <c r="G227" s="38"/>
      <c r="H227" s="396">
        <v>2</v>
      </c>
      <c r="I227" s="88"/>
    </row>
    <row r="228" spans="2:9" ht="15.75">
      <c r="B228" s="1102" t="s">
        <v>284</v>
      </c>
      <c r="C228" s="569" t="s">
        <v>10</v>
      </c>
      <c r="D228" s="394">
        <v>1976</v>
      </c>
      <c r="E228" s="395">
        <v>100</v>
      </c>
      <c r="F228" s="411" t="s">
        <v>350</v>
      </c>
      <c r="G228" s="38"/>
      <c r="H228" s="396">
        <v>2</v>
      </c>
      <c r="I228" s="482" t="s">
        <v>448</v>
      </c>
    </row>
    <row r="229" spans="2:9" ht="15.75">
      <c r="B229" s="1102" t="s">
        <v>289</v>
      </c>
      <c r="C229" s="569" t="s">
        <v>10</v>
      </c>
      <c r="D229" s="407">
        <v>1978</v>
      </c>
      <c r="E229" s="395">
        <v>40</v>
      </c>
      <c r="F229" s="411" t="s">
        <v>496</v>
      </c>
      <c r="G229" s="396"/>
      <c r="H229" s="396">
        <v>2</v>
      </c>
      <c r="I229" s="482" t="s">
        <v>450</v>
      </c>
    </row>
    <row r="230" spans="2:9" ht="15.75">
      <c r="B230" s="1102" t="s">
        <v>291</v>
      </c>
      <c r="C230" s="569" t="s">
        <v>10</v>
      </c>
      <c r="D230" s="394">
        <v>1980</v>
      </c>
      <c r="E230" s="395"/>
      <c r="F230" s="396" t="s">
        <v>497</v>
      </c>
      <c r="G230" s="396"/>
      <c r="H230" s="396">
        <v>1</v>
      </c>
      <c r="I230" s="482" t="s">
        <v>449</v>
      </c>
    </row>
    <row r="231" spans="2:9" ht="15.75">
      <c r="B231" s="1102" t="s">
        <v>293</v>
      </c>
      <c r="C231" s="569" t="s">
        <v>10</v>
      </c>
      <c r="D231" s="394">
        <v>1959</v>
      </c>
      <c r="E231" s="395">
        <v>100</v>
      </c>
      <c r="F231" s="411" t="s">
        <v>365</v>
      </c>
      <c r="G231" s="396"/>
      <c r="H231" s="396">
        <v>2</v>
      </c>
      <c r="I231" s="88"/>
    </row>
    <row r="232" spans="2:9" ht="15.75">
      <c r="B232" s="1102" t="s">
        <v>295</v>
      </c>
      <c r="C232" s="569" t="s">
        <v>10</v>
      </c>
      <c r="D232" s="407">
        <v>1962</v>
      </c>
      <c r="E232" s="395">
        <v>100</v>
      </c>
      <c r="F232" s="411" t="s">
        <v>366</v>
      </c>
      <c r="G232" s="38"/>
      <c r="H232" s="396">
        <v>1</v>
      </c>
      <c r="I232" s="88"/>
    </row>
    <row r="233" spans="2:9" ht="15.75">
      <c r="B233" s="1102" t="s">
        <v>296</v>
      </c>
      <c r="C233" s="394" t="s">
        <v>10</v>
      </c>
      <c r="D233" s="394">
        <v>1970</v>
      </c>
      <c r="E233" s="395">
        <v>100</v>
      </c>
      <c r="F233" s="411" t="s">
        <v>499</v>
      </c>
      <c r="G233" s="396"/>
      <c r="H233" s="396">
        <v>1</v>
      </c>
      <c r="I233" s="88"/>
    </row>
    <row r="236" spans="2:9" ht="15.75">
      <c r="B236" s="1114" t="s">
        <v>888</v>
      </c>
      <c r="C236" s="1115" t="s">
        <v>889</v>
      </c>
    </row>
    <row r="237" spans="2:9" ht="31.5">
      <c r="B237" s="989" t="s">
        <v>611</v>
      </c>
      <c r="C237" s="992">
        <f t="shared" ref="C237" si="0">C238</f>
        <v>1071.5</v>
      </c>
    </row>
    <row r="238" spans="2:9" ht="15.75">
      <c r="B238" s="859" t="s">
        <v>688</v>
      </c>
      <c r="C238" s="1100">
        <f>174+276+150+300+171.5</f>
        <v>1071.5</v>
      </c>
    </row>
    <row r="239" spans="2:9" ht="15.75">
      <c r="B239" s="991" t="s">
        <v>689</v>
      </c>
      <c r="C239" s="992">
        <f>C240</f>
        <v>136</v>
      </c>
    </row>
    <row r="240" spans="2:9" ht="15.75">
      <c r="B240" s="725" t="s">
        <v>299</v>
      </c>
      <c r="C240" s="1100">
        <v>136</v>
      </c>
    </row>
    <row r="241" spans="2:3" ht="15.75">
      <c r="B241" s="991" t="s">
        <v>257</v>
      </c>
      <c r="C241" s="992">
        <f>C242+C243</f>
        <v>326</v>
      </c>
    </row>
    <row r="242" spans="2:3" ht="15.75">
      <c r="B242" s="859" t="s">
        <v>598</v>
      </c>
      <c r="C242" s="1100">
        <v>198</v>
      </c>
    </row>
    <row r="243" spans="2:3" ht="15.75">
      <c r="B243" s="859" t="s">
        <v>600</v>
      </c>
      <c r="C243" s="1100">
        <v>128</v>
      </c>
    </row>
    <row r="244" spans="2:3" ht="15.75">
      <c r="B244" s="991" t="s">
        <v>261</v>
      </c>
      <c r="C244" s="992">
        <f>C245</f>
        <v>149</v>
      </c>
    </row>
    <row r="245" spans="2:3" ht="15.75">
      <c r="B245" s="859" t="s">
        <v>697</v>
      </c>
      <c r="C245" s="1100">
        <v>149</v>
      </c>
    </row>
    <row r="246" spans="2:3" ht="15.75">
      <c r="B246" s="991" t="s">
        <v>264</v>
      </c>
      <c r="C246" s="992">
        <f>C247</f>
        <v>162</v>
      </c>
    </row>
    <row r="247" spans="2:3" ht="15.75">
      <c r="B247" s="859" t="s">
        <v>619</v>
      </c>
      <c r="C247" s="1100">
        <v>162</v>
      </c>
    </row>
    <row r="248" spans="2:3" ht="15.75">
      <c r="B248" s="991" t="s">
        <v>267</v>
      </c>
      <c r="C248" s="992">
        <f>C249</f>
        <v>157.5</v>
      </c>
    </row>
    <row r="249" spans="2:3" ht="15.75">
      <c r="B249" s="859" t="s">
        <v>700</v>
      </c>
      <c r="C249" s="1100">
        <v>157.5</v>
      </c>
    </row>
    <row r="250" spans="2:3" ht="15.75">
      <c r="B250" s="991" t="s">
        <v>271</v>
      </c>
      <c r="C250" s="992">
        <f>C251+C252+C253</f>
        <v>374</v>
      </c>
    </row>
    <row r="251" spans="2:3" ht="15.75">
      <c r="B251" s="859" t="s">
        <v>602</v>
      </c>
      <c r="C251" s="1100">
        <v>162</v>
      </c>
    </row>
    <row r="252" spans="2:3" ht="15.75">
      <c r="B252" s="859" t="s">
        <v>605</v>
      </c>
      <c r="C252" s="1112">
        <v>50</v>
      </c>
    </row>
    <row r="253" spans="2:3" ht="15.75">
      <c r="B253" s="859" t="s">
        <v>702</v>
      </c>
      <c r="C253" s="1100">
        <v>162</v>
      </c>
    </row>
    <row r="254" spans="2:3" ht="15.75">
      <c r="B254" s="991" t="s">
        <v>277</v>
      </c>
      <c r="C254" s="992">
        <f>C255</f>
        <v>162</v>
      </c>
    </row>
    <row r="255" spans="2:3" ht="15.75">
      <c r="B255" s="859" t="s">
        <v>622</v>
      </c>
      <c r="C255" s="1100">
        <v>162</v>
      </c>
    </row>
    <row r="256" spans="2:3" ht="15.75">
      <c r="B256" s="991" t="s">
        <v>283</v>
      </c>
      <c r="C256" s="992">
        <f>C257</f>
        <v>49.5</v>
      </c>
    </row>
    <row r="257" spans="2:3" ht="15.75">
      <c r="B257" s="859" t="s">
        <v>708</v>
      </c>
      <c r="C257" s="1100">
        <v>49.5</v>
      </c>
    </row>
    <row r="258" spans="2:3" ht="15.75">
      <c r="B258" s="991" t="s">
        <v>288</v>
      </c>
      <c r="C258" s="992">
        <f>C259</f>
        <v>288</v>
      </c>
    </row>
    <row r="259" spans="2:3" ht="15.75">
      <c r="B259" s="859" t="s">
        <v>623</v>
      </c>
      <c r="C259" s="1100">
        <v>288</v>
      </c>
    </row>
    <row r="260" spans="2:3" ht="15.75">
      <c r="B260" s="991" t="s">
        <v>713</v>
      </c>
      <c r="C260" s="992">
        <f>C261</f>
        <v>135</v>
      </c>
    </row>
    <row r="261" spans="2:3" ht="15.75">
      <c r="B261" s="859" t="s">
        <v>714</v>
      </c>
      <c r="C261" s="1112">
        <v>135</v>
      </c>
    </row>
    <row r="262" spans="2:3" ht="15.75">
      <c r="B262" s="1113" t="s">
        <v>196</v>
      </c>
      <c r="C262">
        <f>C237+C239+C241+C244+C246+C248+C250+C254+C256+C258+C260</f>
        <v>3010.5</v>
      </c>
    </row>
  </sheetData>
  <autoFilter ref="D1:D92">
    <filterColumn colId="0"/>
  </autoFilter>
  <pageMargins left="0.26" right="0.32" top="0.75" bottom="0.75" header="0.3" footer="0.3"/>
  <pageSetup paperSize="9" scale="81" orientation="portrait" verticalDpi="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D59"/>
  <sheetViews>
    <sheetView view="pageBreakPreview" topLeftCell="AP24" zoomScale="82" zoomScaleSheetLayoutView="82" workbookViewId="0">
      <selection activeCell="BN56" sqref="BN56"/>
    </sheetView>
  </sheetViews>
  <sheetFormatPr defaultRowHeight="15"/>
  <cols>
    <col min="1" max="1" width="5" style="8" customWidth="1"/>
    <col min="2" max="2" width="27" style="8" customWidth="1"/>
    <col min="3" max="3" width="11" style="8" customWidth="1"/>
    <col min="4" max="4" width="10.28515625" style="8" customWidth="1"/>
    <col min="5" max="5" width="6.28515625" style="8" customWidth="1"/>
    <col min="6" max="6" width="8.28515625" style="8" customWidth="1"/>
    <col min="7" max="7" width="10.140625" style="8" customWidth="1"/>
    <col min="8" max="8" width="11" style="8" customWidth="1"/>
    <col min="9" max="9" width="9.140625" style="8" customWidth="1"/>
    <col min="10" max="10" width="10" style="8" customWidth="1"/>
    <col min="11" max="11" width="6" style="8" customWidth="1"/>
    <col min="12" max="12" width="9.140625" style="8" customWidth="1"/>
    <col min="13" max="13" width="10.140625" style="8" customWidth="1"/>
    <col min="14" max="14" width="10.7109375" style="8" customWidth="1"/>
    <col min="15" max="18" width="8.42578125" style="8" customWidth="1"/>
    <col min="19" max="20" width="10.5703125" style="8" customWidth="1"/>
    <col min="21" max="21" width="9.140625" style="8" customWidth="1"/>
    <col min="22" max="22" width="10.85546875" style="8" customWidth="1"/>
    <col min="23" max="23" width="6.5703125" style="8" customWidth="1"/>
    <col min="24" max="24" width="9.140625" style="8" customWidth="1"/>
    <col min="25" max="25" width="10.42578125" style="8" customWidth="1"/>
    <col min="26" max="26" width="11" style="8" customWidth="1"/>
    <col min="27" max="27" width="9.140625" style="8" customWidth="1"/>
    <col min="28" max="28" width="10.28515625" style="8" customWidth="1"/>
    <col min="29" max="29" width="10.42578125" style="8" customWidth="1"/>
    <col min="30" max="30" width="8.42578125" style="8" customWidth="1"/>
    <col min="31" max="31" width="10.140625" style="8" customWidth="1"/>
    <col min="32" max="32" width="10.5703125" style="8" customWidth="1"/>
    <col min="33" max="33" width="8.5703125" style="8" customWidth="1"/>
    <col min="34" max="34" width="10.140625" style="8" customWidth="1"/>
    <col min="35" max="35" width="10.7109375" style="8" customWidth="1"/>
    <col min="36" max="36" width="9.140625" style="8" customWidth="1"/>
    <col min="37" max="37" width="10.5703125" style="8" customWidth="1"/>
    <col min="38" max="38" width="11.140625" style="8" customWidth="1"/>
    <col min="39" max="39" width="8.5703125" style="8" customWidth="1"/>
    <col min="40" max="40" width="10" style="8" customWidth="1"/>
    <col min="41" max="41" width="10.5703125" style="8" customWidth="1"/>
    <col min="42" max="42" width="8.85546875" style="8" customWidth="1"/>
    <col min="43" max="43" width="10.28515625" style="8" customWidth="1"/>
    <col min="44" max="44" width="10.5703125" style="8" customWidth="1"/>
    <col min="45" max="45" width="9.140625" style="8" customWidth="1"/>
    <col min="46" max="46" width="10.85546875" style="8" customWidth="1"/>
    <col min="47" max="47" width="7.28515625" style="8" customWidth="1"/>
    <col min="48" max="48" width="9.140625" style="8" customWidth="1"/>
    <col min="49" max="49" width="10.5703125" style="8" customWidth="1"/>
    <col min="50" max="50" width="6.7109375" style="8" customWidth="1"/>
    <col min="51" max="51" width="9.140625" style="8" customWidth="1"/>
    <col min="52" max="52" width="11" style="8" customWidth="1"/>
    <col min="53" max="53" width="6.5703125" style="8" customWidth="1"/>
    <col min="54" max="57" width="9.140625" style="8" customWidth="1"/>
    <col min="58" max="58" width="10.28515625" style="8" customWidth="1"/>
    <col min="59" max="59" width="7.28515625" style="8" customWidth="1"/>
    <col min="60" max="60" width="8.42578125" style="8" customWidth="1"/>
    <col min="61" max="61" width="10.140625" style="8" customWidth="1"/>
    <col min="62" max="62" width="6.28515625" style="8" customWidth="1"/>
    <col min="63" max="63" width="8.42578125" style="8" customWidth="1"/>
    <col min="64" max="64" width="10.140625" style="8" customWidth="1"/>
    <col min="65" max="65" width="10.5703125" style="8" customWidth="1"/>
    <col min="66" max="66" width="8.140625" style="8" customWidth="1"/>
    <col min="67" max="67" width="10.140625" style="8" customWidth="1"/>
    <col min="68" max="68" width="8.42578125" style="8" customWidth="1"/>
    <col min="69" max="69" width="9.140625" style="8" customWidth="1"/>
    <col min="70" max="70" width="10.7109375" style="8" customWidth="1"/>
    <col min="71" max="71" width="7" style="8" customWidth="1"/>
    <col min="72" max="72" width="8.28515625" style="8" customWidth="1"/>
    <col min="73" max="73" width="10.140625" style="8" customWidth="1"/>
    <col min="74" max="74" width="7.42578125" style="8" customWidth="1"/>
    <col min="75" max="75" width="8.28515625" style="8" customWidth="1"/>
    <col min="76" max="76" width="10.28515625" style="8" customWidth="1"/>
    <col min="77" max="77" width="7.42578125" style="8" customWidth="1"/>
    <col min="78" max="78" width="8.28515625" style="8" customWidth="1"/>
    <col min="79" max="80" width="9.140625" style="9" customWidth="1"/>
    <col min="81" max="102" width="9.140625" style="9"/>
    <col min="103" max="16384" width="9.140625" style="8"/>
  </cols>
  <sheetData>
    <row r="1" spans="1:108" ht="15.75" thickBot="1">
      <c r="B1" s="1315" t="s">
        <v>902</v>
      </c>
      <c r="C1" s="1315"/>
      <c r="D1" s="1315"/>
      <c r="E1" s="1315"/>
      <c r="F1" s="1315"/>
      <c r="G1" s="1315"/>
      <c r="H1" s="1315"/>
      <c r="I1" s="1315"/>
      <c r="J1" s="1315"/>
      <c r="K1" s="1315"/>
      <c r="L1" s="1315"/>
      <c r="M1" s="1315"/>
    </row>
    <row r="2" spans="1:108" s="988" customFormat="1" ht="38.25" customHeight="1">
      <c r="A2" s="1144"/>
      <c r="B2" s="1320" t="s">
        <v>2</v>
      </c>
      <c r="C2" s="1333" t="s">
        <v>146</v>
      </c>
      <c r="D2" s="1324" t="s">
        <v>127</v>
      </c>
      <c r="E2" s="1325"/>
      <c r="F2" s="1326"/>
      <c r="G2" s="1324" t="s">
        <v>128</v>
      </c>
      <c r="H2" s="1325"/>
      <c r="I2" s="1326"/>
      <c r="J2" s="1324" t="s">
        <v>129</v>
      </c>
      <c r="K2" s="1325"/>
      <c r="L2" s="1326"/>
      <c r="M2" s="1324" t="s">
        <v>878</v>
      </c>
      <c r="N2" s="1325"/>
      <c r="O2" s="1326"/>
      <c r="P2" s="1336" t="s">
        <v>899</v>
      </c>
      <c r="Q2" s="1337"/>
      <c r="R2" s="1338"/>
      <c r="S2" s="1324" t="s">
        <v>130</v>
      </c>
      <c r="T2" s="1325"/>
      <c r="U2" s="1326"/>
      <c r="V2" s="1324" t="s">
        <v>131</v>
      </c>
      <c r="W2" s="1325"/>
      <c r="X2" s="1326"/>
      <c r="Y2" s="1324" t="s">
        <v>132</v>
      </c>
      <c r="Z2" s="1325"/>
      <c r="AA2" s="1326"/>
      <c r="AB2" s="1324" t="s">
        <v>133</v>
      </c>
      <c r="AC2" s="1325"/>
      <c r="AD2" s="1326"/>
      <c r="AE2" s="1324" t="s">
        <v>134</v>
      </c>
      <c r="AF2" s="1325"/>
      <c r="AG2" s="1326"/>
      <c r="AH2" s="1324" t="s">
        <v>135</v>
      </c>
      <c r="AI2" s="1325"/>
      <c r="AJ2" s="1326"/>
      <c r="AK2" s="1324" t="s">
        <v>850</v>
      </c>
      <c r="AL2" s="1325"/>
      <c r="AM2" s="1326"/>
      <c r="AN2" s="1324" t="s">
        <v>851</v>
      </c>
      <c r="AO2" s="1331"/>
      <c r="AP2" s="1332"/>
      <c r="AQ2" s="1324" t="s">
        <v>852</v>
      </c>
      <c r="AR2" s="1325"/>
      <c r="AS2" s="1326"/>
      <c r="AT2" s="1324" t="s">
        <v>892</v>
      </c>
      <c r="AU2" s="1325"/>
      <c r="AV2" s="1326"/>
      <c r="AW2" s="1324" t="s">
        <v>136</v>
      </c>
      <c r="AX2" s="1325"/>
      <c r="AY2" s="1326"/>
      <c r="AZ2" s="1324" t="s">
        <v>137</v>
      </c>
      <c r="BA2" s="1325"/>
      <c r="BB2" s="1326"/>
      <c r="BC2" s="1336" t="s">
        <v>900</v>
      </c>
      <c r="BD2" s="1337"/>
      <c r="BE2" s="1338"/>
      <c r="BF2" s="1324" t="s">
        <v>138</v>
      </c>
      <c r="BG2" s="1325"/>
      <c r="BH2" s="1326"/>
      <c r="BI2" s="1324" t="s">
        <v>894</v>
      </c>
      <c r="BJ2" s="1325"/>
      <c r="BK2" s="1326"/>
      <c r="BL2" s="1324" t="s">
        <v>893</v>
      </c>
      <c r="BM2" s="1325"/>
      <c r="BN2" s="1326"/>
      <c r="BO2" s="1324" t="s">
        <v>895</v>
      </c>
      <c r="BP2" s="1325"/>
      <c r="BQ2" s="1326"/>
      <c r="BR2" s="1324" t="s">
        <v>141</v>
      </c>
      <c r="BS2" s="1325"/>
      <c r="BT2" s="1326"/>
      <c r="BU2" s="1324" t="s">
        <v>885</v>
      </c>
      <c r="BV2" s="1325"/>
      <c r="BW2" s="1326"/>
      <c r="BX2" s="1324" t="s">
        <v>142</v>
      </c>
      <c r="BY2" s="1325"/>
      <c r="BZ2" s="1326"/>
      <c r="CA2" s="1002"/>
      <c r="CB2" s="1002"/>
      <c r="CC2" s="1002"/>
      <c r="CD2" s="1002"/>
      <c r="CE2" s="1002"/>
      <c r="CF2" s="1002"/>
      <c r="CG2" s="1002"/>
      <c r="CH2" s="1002"/>
      <c r="CI2" s="1002"/>
      <c r="CJ2" s="1002"/>
      <c r="CK2" s="1002"/>
      <c r="CL2" s="1002"/>
      <c r="CM2" s="1002"/>
      <c r="CN2" s="1002"/>
      <c r="CO2" s="1002"/>
      <c r="CP2" s="1002"/>
      <c r="CQ2" s="1002"/>
      <c r="CR2" s="1002"/>
      <c r="CS2" s="1002"/>
      <c r="CT2" s="1002"/>
      <c r="CU2" s="1002"/>
      <c r="CV2" s="1002"/>
      <c r="CW2" s="1002"/>
      <c r="CX2" s="1002"/>
    </row>
    <row r="3" spans="1:108" s="988" customFormat="1" ht="15" customHeight="1">
      <c r="A3" s="1145"/>
      <c r="B3" s="1321"/>
      <c r="C3" s="1334"/>
      <c r="D3" s="1316" t="s">
        <v>143</v>
      </c>
      <c r="E3" s="1317" t="s">
        <v>849</v>
      </c>
      <c r="F3" s="1318"/>
      <c r="G3" s="1316" t="s">
        <v>143</v>
      </c>
      <c r="H3" s="1317" t="s">
        <v>849</v>
      </c>
      <c r="I3" s="1318"/>
      <c r="J3" s="1316" t="s">
        <v>143</v>
      </c>
      <c r="K3" s="1317" t="s">
        <v>849</v>
      </c>
      <c r="L3" s="1318"/>
      <c r="M3" s="1316" t="s">
        <v>143</v>
      </c>
      <c r="N3" s="1317" t="s">
        <v>849</v>
      </c>
      <c r="O3" s="1318"/>
      <c r="P3" s="1327" t="s">
        <v>143</v>
      </c>
      <c r="Q3" s="1329" t="s">
        <v>849</v>
      </c>
      <c r="R3" s="1330"/>
      <c r="S3" s="1316" t="s">
        <v>143</v>
      </c>
      <c r="T3" s="1317" t="s">
        <v>849</v>
      </c>
      <c r="U3" s="1318"/>
      <c r="V3" s="1316" t="s">
        <v>143</v>
      </c>
      <c r="W3" s="1317" t="s">
        <v>849</v>
      </c>
      <c r="X3" s="1318"/>
      <c r="Y3" s="1316" t="s">
        <v>143</v>
      </c>
      <c r="Z3" s="1317" t="s">
        <v>849</v>
      </c>
      <c r="AA3" s="1318"/>
      <c r="AB3" s="1316" t="s">
        <v>143</v>
      </c>
      <c r="AC3" s="1317" t="s">
        <v>849</v>
      </c>
      <c r="AD3" s="1318"/>
      <c r="AE3" s="1316" t="s">
        <v>143</v>
      </c>
      <c r="AF3" s="1317" t="s">
        <v>849</v>
      </c>
      <c r="AG3" s="1318"/>
      <c r="AH3" s="1316" t="s">
        <v>143</v>
      </c>
      <c r="AI3" s="1317" t="s">
        <v>849</v>
      </c>
      <c r="AJ3" s="1318"/>
      <c r="AK3" s="1316" t="s">
        <v>143</v>
      </c>
      <c r="AL3" s="1317" t="s">
        <v>849</v>
      </c>
      <c r="AM3" s="1318"/>
      <c r="AN3" s="1316" t="s">
        <v>143</v>
      </c>
      <c r="AO3" s="1317" t="s">
        <v>849</v>
      </c>
      <c r="AP3" s="1318"/>
      <c r="AQ3" s="1316" t="s">
        <v>143</v>
      </c>
      <c r="AR3" s="1317" t="s">
        <v>849</v>
      </c>
      <c r="AS3" s="1318"/>
      <c r="AT3" s="1316" t="s">
        <v>143</v>
      </c>
      <c r="AU3" s="1317" t="s">
        <v>849</v>
      </c>
      <c r="AV3" s="1318"/>
      <c r="AW3" s="1316" t="s">
        <v>143</v>
      </c>
      <c r="AX3" s="1317" t="s">
        <v>849</v>
      </c>
      <c r="AY3" s="1318"/>
      <c r="AZ3" s="1316" t="s">
        <v>143</v>
      </c>
      <c r="BA3" s="1317" t="s">
        <v>849</v>
      </c>
      <c r="BB3" s="1318"/>
      <c r="BC3" s="1316" t="s">
        <v>143</v>
      </c>
      <c r="BD3" s="1317" t="s">
        <v>849</v>
      </c>
      <c r="BE3" s="1318"/>
      <c r="BF3" s="1316" t="s">
        <v>143</v>
      </c>
      <c r="BG3" s="1317" t="s">
        <v>849</v>
      </c>
      <c r="BH3" s="1318"/>
      <c r="BI3" s="1316" t="s">
        <v>143</v>
      </c>
      <c r="BJ3" s="1317" t="s">
        <v>849</v>
      </c>
      <c r="BK3" s="1318"/>
      <c r="BL3" s="1316" t="s">
        <v>143</v>
      </c>
      <c r="BM3" s="1317" t="s">
        <v>849</v>
      </c>
      <c r="BN3" s="1318"/>
      <c r="BO3" s="1316" t="s">
        <v>143</v>
      </c>
      <c r="BP3" s="1317" t="s">
        <v>849</v>
      </c>
      <c r="BQ3" s="1318"/>
      <c r="BR3" s="1316" t="s">
        <v>143</v>
      </c>
      <c r="BS3" s="1317" t="s">
        <v>849</v>
      </c>
      <c r="BT3" s="1318"/>
      <c r="BU3" s="1316" t="s">
        <v>143</v>
      </c>
      <c r="BV3" s="1317" t="s">
        <v>849</v>
      </c>
      <c r="BW3" s="1318"/>
      <c r="BX3" s="1316" t="s">
        <v>143</v>
      </c>
      <c r="BY3" s="1317" t="s">
        <v>849</v>
      </c>
      <c r="BZ3" s="1318"/>
      <c r="CA3" s="1002"/>
      <c r="CB3" s="1002"/>
      <c r="CC3" s="1002"/>
      <c r="CD3" s="1002"/>
      <c r="CE3" s="1002"/>
      <c r="CF3" s="1002"/>
      <c r="CG3" s="1002"/>
      <c r="CH3" s="1002"/>
      <c r="CI3" s="1002"/>
      <c r="CJ3" s="1002"/>
      <c r="CK3" s="1002"/>
      <c r="CL3" s="1002"/>
      <c r="CM3" s="1002"/>
      <c r="CN3" s="1002"/>
      <c r="CO3" s="1002"/>
      <c r="CP3" s="1002"/>
      <c r="CQ3" s="1002"/>
      <c r="CR3" s="1002"/>
      <c r="CS3" s="1002"/>
      <c r="CT3" s="1002"/>
      <c r="CU3" s="1002"/>
      <c r="CV3" s="1002"/>
      <c r="CW3" s="1002"/>
      <c r="CX3" s="1002"/>
    </row>
    <row r="4" spans="1:108" s="988" customFormat="1" ht="25.5" customHeight="1" thickBot="1">
      <c r="A4" s="1146"/>
      <c r="B4" s="1322"/>
      <c r="C4" s="1335"/>
      <c r="D4" s="1323"/>
      <c r="E4" s="1147" t="s">
        <v>848</v>
      </c>
      <c r="F4" s="1148" t="s">
        <v>144</v>
      </c>
      <c r="G4" s="1316"/>
      <c r="H4" s="1101" t="s">
        <v>848</v>
      </c>
      <c r="I4" s="1118" t="s">
        <v>144</v>
      </c>
      <c r="J4" s="1316"/>
      <c r="K4" s="1101" t="s">
        <v>848</v>
      </c>
      <c r="L4" s="1118" t="s">
        <v>144</v>
      </c>
      <c r="M4" s="1316"/>
      <c r="N4" s="1101" t="s">
        <v>848</v>
      </c>
      <c r="O4" s="1118" t="s">
        <v>144</v>
      </c>
      <c r="P4" s="1328"/>
      <c r="Q4" s="1101" t="s">
        <v>848</v>
      </c>
      <c r="R4" s="1118" t="s">
        <v>144</v>
      </c>
      <c r="S4" s="1316"/>
      <c r="T4" s="1101" t="s">
        <v>848</v>
      </c>
      <c r="U4" s="1118" t="s">
        <v>144</v>
      </c>
      <c r="V4" s="1316"/>
      <c r="W4" s="1101" t="s">
        <v>848</v>
      </c>
      <c r="X4" s="1118" t="s">
        <v>144</v>
      </c>
      <c r="Y4" s="1316"/>
      <c r="Z4" s="1101" t="s">
        <v>848</v>
      </c>
      <c r="AA4" s="1118" t="s">
        <v>144</v>
      </c>
      <c r="AB4" s="1316"/>
      <c r="AC4" s="1101" t="s">
        <v>848</v>
      </c>
      <c r="AD4" s="1118" t="s">
        <v>144</v>
      </c>
      <c r="AE4" s="1316"/>
      <c r="AF4" s="1101" t="s">
        <v>848</v>
      </c>
      <c r="AG4" s="1118" t="s">
        <v>144</v>
      </c>
      <c r="AH4" s="1316"/>
      <c r="AI4" s="1101" t="s">
        <v>848</v>
      </c>
      <c r="AJ4" s="1118" t="s">
        <v>144</v>
      </c>
      <c r="AK4" s="1316"/>
      <c r="AL4" s="1101" t="s">
        <v>848</v>
      </c>
      <c r="AM4" s="1118" t="s">
        <v>144</v>
      </c>
      <c r="AN4" s="1316"/>
      <c r="AO4" s="1101" t="s">
        <v>848</v>
      </c>
      <c r="AP4" s="1118" t="s">
        <v>144</v>
      </c>
      <c r="AQ4" s="1316"/>
      <c r="AR4" s="1101" t="s">
        <v>848</v>
      </c>
      <c r="AS4" s="1118" t="s">
        <v>144</v>
      </c>
      <c r="AT4" s="1316"/>
      <c r="AU4" s="1101" t="s">
        <v>848</v>
      </c>
      <c r="AV4" s="1118" t="s">
        <v>144</v>
      </c>
      <c r="AW4" s="1316"/>
      <c r="AX4" s="1101" t="s">
        <v>848</v>
      </c>
      <c r="AY4" s="1118" t="s">
        <v>144</v>
      </c>
      <c r="AZ4" s="1316"/>
      <c r="BA4" s="1101" t="s">
        <v>848</v>
      </c>
      <c r="BB4" s="1118" t="s">
        <v>144</v>
      </c>
      <c r="BC4" s="1339"/>
      <c r="BD4" s="1132" t="s">
        <v>848</v>
      </c>
      <c r="BE4" s="1132" t="s">
        <v>144</v>
      </c>
      <c r="BF4" s="1316"/>
      <c r="BG4" s="1101" t="s">
        <v>848</v>
      </c>
      <c r="BH4" s="1118" t="s">
        <v>144</v>
      </c>
      <c r="BI4" s="1316"/>
      <c r="BJ4" s="1101" t="s">
        <v>848</v>
      </c>
      <c r="BK4" s="1118" t="s">
        <v>144</v>
      </c>
      <c r="BL4" s="1316"/>
      <c r="BM4" s="1101" t="s">
        <v>848</v>
      </c>
      <c r="BN4" s="1118" t="s">
        <v>144</v>
      </c>
      <c r="BO4" s="1316"/>
      <c r="BP4" s="1101" t="s">
        <v>848</v>
      </c>
      <c r="BQ4" s="1118" t="s">
        <v>144</v>
      </c>
      <c r="BR4" s="1316"/>
      <c r="BS4" s="1101" t="s">
        <v>848</v>
      </c>
      <c r="BT4" s="1118" t="s">
        <v>144</v>
      </c>
      <c r="BU4" s="1316"/>
      <c r="BV4" s="1101" t="s">
        <v>848</v>
      </c>
      <c r="BW4" s="1118" t="s">
        <v>144</v>
      </c>
      <c r="BX4" s="1316"/>
      <c r="BY4" s="1101" t="s">
        <v>848</v>
      </c>
      <c r="BZ4" s="1118" t="s">
        <v>144</v>
      </c>
      <c r="CA4" s="1002"/>
      <c r="CB4" s="1002"/>
      <c r="CC4" s="1002"/>
      <c r="CD4" s="1002"/>
      <c r="CE4" s="1002"/>
      <c r="CF4" s="1002"/>
      <c r="CG4" s="1002"/>
      <c r="CH4" s="1002"/>
      <c r="CI4" s="1002"/>
      <c r="CJ4" s="1002"/>
      <c r="CK4" s="1002"/>
      <c r="CL4" s="1002"/>
      <c r="CM4" s="1002"/>
      <c r="CN4" s="1002"/>
      <c r="CO4" s="1002"/>
      <c r="CP4" s="1002"/>
      <c r="CQ4" s="1002"/>
      <c r="CR4" s="1002"/>
      <c r="CS4" s="1002"/>
      <c r="CT4" s="1002"/>
      <c r="CU4" s="1002"/>
      <c r="CV4" s="1002"/>
      <c r="CW4" s="1002"/>
      <c r="CX4" s="1002"/>
    </row>
    <row r="5" spans="1:108" s="98" customFormat="1" ht="17.25" customHeight="1">
      <c r="A5" s="1149"/>
      <c r="B5" s="1150" t="s">
        <v>611</v>
      </c>
      <c r="C5" s="1140">
        <f>'проект числ-сть'!L4</f>
        <v>7558.333333333333</v>
      </c>
      <c r="D5" s="1141">
        <f>D6</f>
        <v>756</v>
      </c>
      <c r="E5" s="1142">
        <f t="shared" ref="E5:F5" si="0">E6</f>
        <v>195</v>
      </c>
      <c r="F5" s="1143">
        <f t="shared" si="0"/>
        <v>600</v>
      </c>
      <c r="G5" s="1119">
        <f t="shared" ref="G5" si="1">G6</f>
        <v>1361</v>
      </c>
      <c r="H5" s="992">
        <f t="shared" ref="H5:I5" si="2">H6</f>
        <v>1439</v>
      </c>
      <c r="I5" s="1120">
        <f t="shared" si="2"/>
        <v>0</v>
      </c>
      <c r="J5" s="1119">
        <f t="shared" ref="J5" si="3">J6</f>
        <v>0</v>
      </c>
      <c r="K5" s="992">
        <f t="shared" ref="K5:L5" si="4">K6</f>
        <v>0</v>
      </c>
      <c r="L5" s="1120">
        <f t="shared" si="4"/>
        <v>140</v>
      </c>
      <c r="M5" s="1119">
        <f t="shared" ref="M5" si="5">M6</f>
        <v>0</v>
      </c>
      <c r="N5" s="992">
        <f t="shared" ref="N5:R5" si="6">N6</f>
        <v>350</v>
      </c>
      <c r="O5" s="1120">
        <f t="shared" si="6"/>
        <v>0</v>
      </c>
      <c r="P5" s="1119">
        <f t="shared" si="6"/>
        <v>0</v>
      </c>
      <c r="Q5" s="992">
        <f t="shared" si="6"/>
        <v>59</v>
      </c>
      <c r="R5" s="1120">
        <f t="shared" si="6"/>
        <v>0</v>
      </c>
      <c r="S5" s="1119">
        <f t="shared" ref="S5" si="7">S6</f>
        <v>0</v>
      </c>
      <c r="T5" s="992">
        <f t="shared" ref="T5:U5" si="8">T6</f>
        <v>0</v>
      </c>
      <c r="U5" s="1120">
        <f t="shared" si="8"/>
        <v>0</v>
      </c>
      <c r="V5" s="1119">
        <f t="shared" ref="V5" si="9">V6</f>
        <v>0</v>
      </c>
      <c r="W5" s="992">
        <f t="shared" ref="W5:X5" si="10">W6</f>
        <v>0</v>
      </c>
      <c r="X5" s="1120">
        <f t="shared" si="10"/>
        <v>0</v>
      </c>
      <c r="Y5" s="1119">
        <f t="shared" ref="Y5" si="11">Y6</f>
        <v>0</v>
      </c>
      <c r="Z5" s="992">
        <f t="shared" ref="Z5:AA5" si="12">Z6</f>
        <v>0</v>
      </c>
      <c r="AA5" s="1120">
        <f t="shared" si="12"/>
        <v>0</v>
      </c>
      <c r="AB5" s="1119">
        <f t="shared" ref="AB5" si="13">AB6</f>
        <v>0</v>
      </c>
      <c r="AC5" s="992">
        <f t="shared" ref="AC5:AD5" si="14">AC6</f>
        <v>3</v>
      </c>
      <c r="AD5" s="1120">
        <f t="shared" si="14"/>
        <v>0</v>
      </c>
      <c r="AE5" s="1119">
        <f t="shared" ref="AE5" si="15">AE6</f>
        <v>5.3</v>
      </c>
      <c r="AF5" s="992">
        <f t="shared" ref="AF5:AG5" si="16">AF6</f>
        <v>3.02</v>
      </c>
      <c r="AG5" s="1120">
        <f t="shared" si="16"/>
        <v>2.2799999999999998</v>
      </c>
      <c r="AH5" s="1119">
        <f t="shared" ref="AH5:BZ5" si="17">AH6</f>
        <v>605</v>
      </c>
      <c r="AI5" s="992">
        <f t="shared" si="17"/>
        <v>921.5</v>
      </c>
      <c r="AJ5" s="1120">
        <f t="shared" si="17"/>
        <v>0</v>
      </c>
      <c r="AK5" s="1119">
        <f t="shared" si="17"/>
        <v>605</v>
      </c>
      <c r="AL5" s="992">
        <f t="shared" si="17"/>
        <v>380</v>
      </c>
      <c r="AM5" s="1120">
        <f t="shared" si="17"/>
        <v>250</v>
      </c>
      <c r="AN5" s="1119">
        <f t="shared" si="17"/>
        <v>45</v>
      </c>
      <c r="AO5" s="992">
        <f t="shared" si="17"/>
        <v>0</v>
      </c>
      <c r="AP5" s="1120">
        <f t="shared" si="17"/>
        <v>45</v>
      </c>
      <c r="AQ5" s="1119">
        <f t="shared" si="17"/>
        <v>2268</v>
      </c>
      <c r="AR5" s="992" t="s">
        <v>890</v>
      </c>
      <c r="AS5" s="1120">
        <f t="shared" si="17"/>
        <v>0</v>
      </c>
      <c r="AT5" s="1119">
        <f t="shared" si="17"/>
        <v>302</v>
      </c>
      <c r="AU5" s="992">
        <f t="shared" si="17"/>
        <v>80</v>
      </c>
      <c r="AV5" s="1120">
        <f t="shared" si="17"/>
        <v>210</v>
      </c>
      <c r="AW5" s="1119">
        <f t="shared" si="17"/>
        <v>53</v>
      </c>
      <c r="AX5" s="992">
        <f t="shared" si="17"/>
        <v>8</v>
      </c>
      <c r="AY5" s="1120">
        <f t="shared" si="17"/>
        <v>45</v>
      </c>
      <c r="AZ5" s="1119">
        <f t="shared" si="17"/>
        <v>454</v>
      </c>
      <c r="BA5" s="992">
        <f t="shared" si="17"/>
        <v>0</v>
      </c>
      <c r="BB5" s="1120">
        <f t="shared" si="17"/>
        <v>700</v>
      </c>
      <c r="BC5" s="1135">
        <f t="shared" si="17"/>
        <v>26.5</v>
      </c>
      <c r="BD5" s="992">
        <f t="shared" si="17"/>
        <v>0</v>
      </c>
      <c r="BE5" s="992">
        <f t="shared" si="17"/>
        <v>50</v>
      </c>
      <c r="BF5" s="1119">
        <f t="shared" si="17"/>
        <v>53</v>
      </c>
      <c r="BG5" s="992">
        <f t="shared" si="17"/>
        <v>21</v>
      </c>
      <c r="BH5" s="1120">
        <f t="shared" si="17"/>
        <v>30</v>
      </c>
      <c r="BI5" s="1119">
        <f t="shared" si="17"/>
        <v>0</v>
      </c>
      <c r="BJ5" s="992">
        <f t="shared" si="17"/>
        <v>1</v>
      </c>
      <c r="BK5" s="1120">
        <f t="shared" si="17"/>
        <v>0</v>
      </c>
      <c r="BL5" s="1119">
        <f t="shared" si="17"/>
        <v>0</v>
      </c>
      <c r="BM5" s="992">
        <f t="shared" si="17"/>
        <v>1</v>
      </c>
      <c r="BN5" s="1120">
        <f t="shared" si="17"/>
        <v>0</v>
      </c>
      <c r="BO5" s="1119">
        <f t="shared" si="17"/>
        <v>0</v>
      </c>
      <c r="BP5" s="992">
        <f t="shared" si="17"/>
        <v>8</v>
      </c>
      <c r="BQ5" s="1120">
        <f t="shared" si="17"/>
        <v>0</v>
      </c>
      <c r="BR5" s="1119">
        <f t="shared" si="17"/>
        <v>0</v>
      </c>
      <c r="BS5" s="992">
        <f t="shared" si="17"/>
        <v>2</v>
      </c>
      <c r="BT5" s="1120">
        <f t="shared" si="17"/>
        <v>0</v>
      </c>
      <c r="BU5" s="1119">
        <f t="shared" si="17"/>
        <v>45</v>
      </c>
      <c r="BV5" s="992">
        <f t="shared" si="17"/>
        <v>0</v>
      </c>
      <c r="BW5" s="1120">
        <f t="shared" si="17"/>
        <v>45</v>
      </c>
      <c r="BX5" s="1125">
        <f t="shared" si="17"/>
        <v>1.8</v>
      </c>
      <c r="BY5" s="1107">
        <f t="shared" si="17"/>
        <v>10</v>
      </c>
      <c r="BZ5" s="1120">
        <f t="shared" si="17"/>
        <v>0</v>
      </c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576"/>
      <c r="CZ5" s="576"/>
      <c r="DA5" s="576"/>
      <c r="DB5" s="576"/>
      <c r="DC5" s="576"/>
      <c r="DD5" s="576"/>
    </row>
    <row r="6" spans="1:108" ht="14.25" customHeight="1">
      <c r="A6" s="836">
        <v>1</v>
      </c>
      <c r="B6" s="859" t="s">
        <v>688</v>
      </c>
      <c r="C6" s="1117">
        <f>'проект числ-сть'!L5</f>
        <v>7558.333333333333</v>
      </c>
      <c r="D6" s="1121">
        <f>ROUND(C6/1000*100,0)</f>
        <v>756</v>
      </c>
      <c r="E6" s="1100">
        <f>120+75</f>
        <v>195</v>
      </c>
      <c r="F6" s="1122">
        <v>600</v>
      </c>
      <c r="G6" s="1121">
        <f t="shared" ref="G6:G54" si="18">ROUND(C6*180/1000,0)</f>
        <v>1361</v>
      </c>
      <c r="H6" s="1100">
        <f>655+784</f>
        <v>1439</v>
      </c>
      <c r="I6" s="1122">
        <f>IF(G6-H6&lt;0,0,G6-H6)</f>
        <v>0</v>
      </c>
      <c r="J6" s="1124"/>
      <c r="K6" s="1100">
        <v>0</v>
      </c>
      <c r="L6" s="1122">
        <v>140</v>
      </c>
      <c r="M6" s="1124"/>
      <c r="N6" s="1100">
        <v>350</v>
      </c>
      <c r="O6" s="1122"/>
      <c r="P6" s="1124"/>
      <c r="Q6" s="1100">
        <v>59</v>
      </c>
      <c r="R6" s="1122"/>
      <c r="S6" s="1124"/>
      <c r="T6" s="1100"/>
      <c r="U6" s="1122"/>
      <c r="V6" s="1124"/>
      <c r="W6" s="1100"/>
      <c r="X6" s="1122"/>
      <c r="Y6" s="1124"/>
      <c r="Z6" s="1100"/>
      <c r="AA6" s="1122"/>
      <c r="AB6" s="1124"/>
      <c r="AC6" s="1100">
        <v>3</v>
      </c>
      <c r="AD6" s="1122"/>
      <c r="AE6" s="1124">
        <f>ROUND(C6*0.7/1000,1)</f>
        <v>5.3</v>
      </c>
      <c r="AF6" s="1100">
        <v>3.02</v>
      </c>
      <c r="AG6" s="1122">
        <f>IF(AE6-AF6&lt;0,0,AE6-AF6)</f>
        <v>2.2799999999999998</v>
      </c>
      <c r="AH6" s="1124">
        <f>ROUND(C6*80/1000,0)</f>
        <v>605</v>
      </c>
      <c r="AI6" s="1100">
        <f>174+276+300+171.5</f>
        <v>921.5</v>
      </c>
      <c r="AJ6" s="1122">
        <f>IF(AH6-AI6&lt;0,0,AH6-AI6)</f>
        <v>0</v>
      </c>
      <c r="AK6" s="1124">
        <f>ROUND(C6*80/1000,0)</f>
        <v>605</v>
      </c>
      <c r="AL6" s="1100">
        <v>380</v>
      </c>
      <c r="AM6" s="1122">
        <v>250</v>
      </c>
      <c r="AN6" s="1124">
        <f>ROUND(C6*6/1000,0)</f>
        <v>45</v>
      </c>
      <c r="AO6" s="1100">
        <v>0</v>
      </c>
      <c r="AP6" s="1122">
        <f>IF(AN6-AO6&lt;0,0,AN6-AO6)</f>
        <v>45</v>
      </c>
      <c r="AQ6" s="1124">
        <f>ROUND(C6*300/1000,0)</f>
        <v>2268</v>
      </c>
      <c r="AR6" s="1100"/>
      <c r="AS6" s="1122"/>
      <c r="AT6" s="1124">
        <f>ROUND(C6*40/1000,0)</f>
        <v>302</v>
      </c>
      <c r="AU6" s="1100">
        <v>80</v>
      </c>
      <c r="AV6" s="1122">
        <v>210</v>
      </c>
      <c r="AW6" s="1124">
        <f>ROUND(C6*7/1000,0)</f>
        <v>53</v>
      </c>
      <c r="AX6" s="1100">
        <v>8</v>
      </c>
      <c r="AY6" s="1122">
        <v>45</v>
      </c>
      <c r="AZ6" s="1124">
        <f>ROUND(C6*60/1000,0)</f>
        <v>454</v>
      </c>
      <c r="BA6" s="1100"/>
      <c r="BB6" s="1122">
        <v>700</v>
      </c>
      <c r="BC6" s="1136">
        <f>ROUND(C6*3.5/1000,1)</f>
        <v>26.5</v>
      </c>
      <c r="BD6" s="1130"/>
      <c r="BE6" s="1130">
        <v>50</v>
      </c>
      <c r="BF6" s="1124">
        <f>ROUND(C6*7/1000,0)</f>
        <v>53</v>
      </c>
      <c r="BG6" s="1100">
        <v>21</v>
      </c>
      <c r="BH6" s="1122">
        <v>30</v>
      </c>
      <c r="BI6" s="1124"/>
      <c r="BJ6" s="1100">
        <v>1</v>
      </c>
      <c r="BK6" s="1122"/>
      <c r="BL6" s="1124"/>
      <c r="BM6" s="1100">
        <v>1</v>
      </c>
      <c r="BN6" s="1122"/>
      <c r="BO6" s="1124"/>
      <c r="BP6" s="1100">
        <v>8</v>
      </c>
      <c r="BQ6" s="1122"/>
      <c r="BR6" s="1124"/>
      <c r="BS6" s="1100">
        <v>2</v>
      </c>
      <c r="BT6" s="1122"/>
      <c r="BU6" s="1124">
        <f>ROUND(C6*6/1000,0)</f>
        <v>45</v>
      </c>
      <c r="BV6" s="1100"/>
      <c r="BW6" s="1122">
        <v>45</v>
      </c>
      <c r="BX6" s="1126">
        <f>ROUND(C6*0.24/1000,1)</f>
        <v>1.8</v>
      </c>
      <c r="BY6" s="1108">
        <v>10</v>
      </c>
      <c r="BZ6" s="1122">
        <f>IF(BX6-BY6&lt;0,0,BX6-BY6)</f>
        <v>0</v>
      </c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</row>
    <row r="7" spans="1:108" s="98" customFormat="1" ht="15.75">
      <c r="A7" s="990"/>
      <c r="B7" s="991" t="s">
        <v>689</v>
      </c>
      <c r="C7" s="1116">
        <f>'проект числ-сть'!L6</f>
        <v>1274</v>
      </c>
      <c r="D7" s="1119">
        <f>D8+D9+D10+D11</f>
        <v>127</v>
      </c>
      <c r="E7" s="992">
        <f t="shared" ref="E7:F7" si="19">E8+E9+E10+E11</f>
        <v>40</v>
      </c>
      <c r="F7" s="1120">
        <f t="shared" si="19"/>
        <v>40</v>
      </c>
      <c r="G7" s="1119">
        <f t="shared" ref="G7" si="20">G8+G9+G10+G11</f>
        <v>229</v>
      </c>
      <c r="H7" s="992">
        <f t="shared" ref="H7:I7" si="21">H8+H9+H10+H11</f>
        <v>250</v>
      </c>
      <c r="I7" s="1120">
        <f t="shared" si="21"/>
        <v>0</v>
      </c>
      <c r="J7" s="1119">
        <f t="shared" ref="J7" si="22">J8+J9+J10+J11</f>
        <v>0</v>
      </c>
      <c r="K7" s="992">
        <f t="shared" ref="K7:L7" si="23">K8+K9+K10+K11</f>
        <v>0</v>
      </c>
      <c r="L7" s="1120">
        <f t="shared" si="23"/>
        <v>0</v>
      </c>
      <c r="M7" s="1119">
        <f t="shared" ref="M7" si="24">M8+M9+M10+M11</f>
        <v>0</v>
      </c>
      <c r="N7" s="992">
        <f t="shared" ref="N7:R7" si="25">N8+N9+N10+N11</f>
        <v>100</v>
      </c>
      <c r="O7" s="1120">
        <f t="shared" si="25"/>
        <v>0</v>
      </c>
      <c r="P7" s="1119">
        <f t="shared" si="25"/>
        <v>0</v>
      </c>
      <c r="Q7" s="992">
        <f t="shared" si="25"/>
        <v>15</v>
      </c>
      <c r="R7" s="1120">
        <f t="shared" si="25"/>
        <v>0</v>
      </c>
      <c r="S7" s="1119">
        <f t="shared" ref="S7" si="26">S8+S9+S10+S11</f>
        <v>0</v>
      </c>
      <c r="T7" s="992">
        <f t="shared" ref="T7:U7" si="27">T8+T9+T10+T11</f>
        <v>1</v>
      </c>
      <c r="U7" s="1120">
        <f t="shared" si="27"/>
        <v>0</v>
      </c>
      <c r="V7" s="1119">
        <f t="shared" ref="V7" si="28">V8+V9+V10+V11</f>
        <v>0</v>
      </c>
      <c r="W7" s="992">
        <f t="shared" ref="W7:X7" si="29">W8+W9+W10+W11</f>
        <v>0</v>
      </c>
      <c r="X7" s="1120">
        <f t="shared" si="29"/>
        <v>0</v>
      </c>
      <c r="Y7" s="1119">
        <f t="shared" ref="Y7" si="30">Y8+Y9+Y10+Y11</f>
        <v>0</v>
      </c>
      <c r="Z7" s="992">
        <f t="shared" ref="Z7:AA7" si="31">Z8+Z9+Z10+Z11</f>
        <v>0</v>
      </c>
      <c r="AA7" s="1120">
        <f t="shared" si="31"/>
        <v>0</v>
      </c>
      <c r="AB7" s="1119">
        <f t="shared" ref="AB7" si="32">AB8+AB9+AB10+AB11</f>
        <v>0</v>
      </c>
      <c r="AC7" s="992">
        <f t="shared" ref="AC7:AD7" si="33">AC8+AC9+AC10+AC11</f>
        <v>1</v>
      </c>
      <c r="AD7" s="1120">
        <f t="shared" si="33"/>
        <v>1</v>
      </c>
      <c r="AE7" s="1119">
        <f t="shared" ref="AE7" si="34">AE8+AE9+AE10+AE11</f>
        <v>0.8</v>
      </c>
      <c r="AF7" s="992">
        <f t="shared" ref="AF7:BZ7" si="35">AF8+AF9+AF10+AF11</f>
        <v>0</v>
      </c>
      <c r="AG7" s="1120">
        <f t="shared" si="35"/>
        <v>0.8</v>
      </c>
      <c r="AH7" s="1119">
        <f t="shared" si="35"/>
        <v>103</v>
      </c>
      <c r="AI7" s="992">
        <f t="shared" si="35"/>
        <v>136</v>
      </c>
      <c r="AJ7" s="1120">
        <f t="shared" si="35"/>
        <v>8</v>
      </c>
      <c r="AK7" s="1119">
        <f t="shared" si="35"/>
        <v>382</v>
      </c>
      <c r="AL7" s="992">
        <f t="shared" si="35"/>
        <v>0</v>
      </c>
      <c r="AM7" s="1120">
        <f t="shared" si="35"/>
        <v>250</v>
      </c>
      <c r="AN7" s="1119">
        <f t="shared" si="35"/>
        <v>7</v>
      </c>
      <c r="AO7" s="992">
        <f t="shared" si="35"/>
        <v>25</v>
      </c>
      <c r="AP7" s="1120">
        <f t="shared" si="35"/>
        <v>0</v>
      </c>
      <c r="AQ7" s="1119">
        <f t="shared" si="35"/>
        <v>382</v>
      </c>
      <c r="AR7" s="992" t="s">
        <v>890</v>
      </c>
      <c r="AS7" s="1120">
        <f t="shared" si="35"/>
        <v>10</v>
      </c>
      <c r="AT7" s="1119">
        <f t="shared" si="35"/>
        <v>50</v>
      </c>
      <c r="AU7" s="992">
        <f t="shared" si="35"/>
        <v>0</v>
      </c>
      <c r="AV7" s="1120">
        <f t="shared" si="35"/>
        <v>35</v>
      </c>
      <c r="AW7" s="1119">
        <f t="shared" si="35"/>
        <v>8</v>
      </c>
      <c r="AX7" s="992">
        <f t="shared" si="35"/>
        <v>0</v>
      </c>
      <c r="AY7" s="1120">
        <f t="shared" si="35"/>
        <v>6</v>
      </c>
      <c r="AZ7" s="1119">
        <f t="shared" si="35"/>
        <v>77</v>
      </c>
      <c r="BA7" s="992">
        <f t="shared" si="35"/>
        <v>0</v>
      </c>
      <c r="BB7" s="1120">
        <f t="shared" si="35"/>
        <v>80</v>
      </c>
      <c r="BC7" s="1135">
        <f t="shared" si="35"/>
        <v>4.5</v>
      </c>
      <c r="BD7" s="992">
        <f t="shared" si="35"/>
        <v>0</v>
      </c>
      <c r="BE7" s="992">
        <f t="shared" si="35"/>
        <v>0</v>
      </c>
      <c r="BF7" s="1119">
        <f t="shared" si="35"/>
        <v>8</v>
      </c>
      <c r="BG7" s="992">
        <f t="shared" si="35"/>
        <v>0</v>
      </c>
      <c r="BH7" s="1120">
        <f t="shared" si="35"/>
        <v>8</v>
      </c>
      <c r="BI7" s="1119">
        <f t="shared" si="35"/>
        <v>0</v>
      </c>
      <c r="BJ7" s="992">
        <f t="shared" si="35"/>
        <v>1</v>
      </c>
      <c r="BK7" s="1120">
        <f t="shared" si="35"/>
        <v>0</v>
      </c>
      <c r="BL7" s="1119">
        <f t="shared" si="35"/>
        <v>0</v>
      </c>
      <c r="BM7" s="992">
        <f t="shared" si="35"/>
        <v>1</v>
      </c>
      <c r="BN7" s="1120">
        <f t="shared" si="35"/>
        <v>0</v>
      </c>
      <c r="BO7" s="1119">
        <f t="shared" si="35"/>
        <v>0</v>
      </c>
      <c r="BP7" s="992">
        <f t="shared" si="35"/>
        <v>1</v>
      </c>
      <c r="BQ7" s="1120">
        <f t="shared" si="35"/>
        <v>0</v>
      </c>
      <c r="BR7" s="1119">
        <f t="shared" si="35"/>
        <v>0</v>
      </c>
      <c r="BS7" s="992">
        <f t="shared" si="35"/>
        <v>1</v>
      </c>
      <c r="BT7" s="1120">
        <f t="shared" si="35"/>
        <v>0</v>
      </c>
      <c r="BU7" s="1119">
        <f t="shared" si="35"/>
        <v>7</v>
      </c>
      <c r="BV7" s="992">
        <f t="shared" si="35"/>
        <v>0</v>
      </c>
      <c r="BW7" s="1120">
        <f t="shared" si="35"/>
        <v>5</v>
      </c>
      <c r="BX7" s="1125">
        <f t="shared" si="35"/>
        <v>0.3</v>
      </c>
      <c r="BY7" s="1107">
        <f t="shared" si="35"/>
        <v>14</v>
      </c>
      <c r="BZ7" s="1120">
        <f t="shared" si="35"/>
        <v>0</v>
      </c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576"/>
      <c r="CZ7" s="576"/>
      <c r="DA7" s="576"/>
      <c r="DB7" s="576"/>
      <c r="DC7" s="576"/>
      <c r="DD7" s="576"/>
    </row>
    <row r="8" spans="1:108" ht="15.75">
      <c r="A8" s="836">
        <v>2</v>
      </c>
      <c r="B8" s="725" t="s">
        <v>299</v>
      </c>
      <c r="C8" s="1117">
        <f>'проект числ-сть'!L7</f>
        <v>1186</v>
      </c>
      <c r="D8" s="1121">
        <f t="shared" ref="D8:D54" si="36">ROUND(C8/1000*100,0)</f>
        <v>119</v>
      </c>
      <c r="E8" s="1100">
        <v>40</v>
      </c>
      <c r="F8" s="1122">
        <v>40</v>
      </c>
      <c r="G8" s="1121">
        <f t="shared" si="18"/>
        <v>213</v>
      </c>
      <c r="H8" s="1100">
        <v>250</v>
      </c>
      <c r="I8" s="1122"/>
      <c r="J8" s="1124"/>
      <c r="K8" s="1100"/>
      <c r="L8" s="1122"/>
      <c r="M8" s="1124"/>
      <c r="N8" s="1100">
        <v>100</v>
      </c>
      <c r="O8" s="1122"/>
      <c r="P8" s="1124"/>
      <c r="Q8" s="1100">
        <v>15</v>
      </c>
      <c r="R8" s="1122"/>
      <c r="S8" s="1124"/>
      <c r="T8" s="1100"/>
      <c r="U8" s="1122"/>
      <c r="V8" s="1124"/>
      <c r="W8" s="1100"/>
      <c r="X8" s="1122"/>
      <c r="Y8" s="1124"/>
      <c r="Z8" s="1100"/>
      <c r="AA8" s="1122"/>
      <c r="AB8" s="1124"/>
      <c r="AC8" s="1100">
        <v>1</v>
      </c>
      <c r="AD8" s="1122"/>
      <c r="AE8" s="1124">
        <f t="shared" ref="AE8:AE54" si="37">ROUND(C8*0.7/1000,1)</f>
        <v>0.8</v>
      </c>
      <c r="AF8" s="1100"/>
      <c r="AG8" s="1122">
        <f t="shared" ref="AG8:AG54" si="38">IF(AE8-AF8&lt;0,0,AE8-AF8)</f>
        <v>0.8</v>
      </c>
      <c r="AH8" s="1124">
        <f t="shared" ref="AH8:AH54" si="39">ROUND(C8*80/1000,0)</f>
        <v>95</v>
      </c>
      <c r="AI8" s="1100">
        <v>136</v>
      </c>
      <c r="AJ8" s="1122">
        <f t="shared" ref="AJ8:AJ54" si="40">IF(AH8-AI8&lt;0,0,AH8-AI8)</f>
        <v>0</v>
      </c>
      <c r="AK8" s="1124">
        <f t="shared" ref="AK8:AK54" si="41">ROUND(C8*300/1000,0)</f>
        <v>356</v>
      </c>
      <c r="AL8" s="1100">
        <v>0</v>
      </c>
      <c r="AM8" s="1122">
        <v>250</v>
      </c>
      <c r="AN8" s="1124">
        <f t="shared" ref="AN8:AN54" si="42">ROUND(C8*6/1000,0)</f>
        <v>7</v>
      </c>
      <c r="AO8" s="1100">
        <v>25</v>
      </c>
      <c r="AP8" s="1122">
        <f t="shared" ref="AP8:AP54" si="43">IF(AN8-AO8&lt;0,0,AN8-AO8)</f>
        <v>0</v>
      </c>
      <c r="AQ8" s="1124">
        <f t="shared" ref="AQ8:AQ54" si="44">ROUND(C8*300/1000,0)</f>
        <v>356</v>
      </c>
      <c r="AR8" s="1100"/>
      <c r="AS8" s="1122"/>
      <c r="AT8" s="1124">
        <f t="shared" ref="AT8:AT54" si="45">ROUND(C8*40/1000,0)</f>
        <v>47</v>
      </c>
      <c r="AU8" s="1100"/>
      <c r="AV8" s="1122">
        <v>35</v>
      </c>
      <c r="AW8" s="1124">
        <f t="shared" ref="AW8:AW54" si="46">ROUND(C8*7/1000,0)</f>
        <v>8</v>
      </c>
      <c r="AX8" s="1100"/>
      <c r="AY8" s="1122">
        <v>6</v>
      </c>
      <c r="AZ8" s="1124">
        <f t="shared" ref="AZ8:AZ54" si="47">ROUND(C8*60/1000,0)</f>
        <v>71</v>
      </c>
      <c r="BA8" s="1100"/>
      <c r="BB8" s="1122">
        <v>80</v>
      </c>
      <c r="BC8" s="1136">
        <f t="shared" ref="BC8:BC54" si="48">ROUND(C8*3.5/1000,1)</f>
        <v>4.2</v>
      </c>
      <c r="BD8" s="1130"/>
      <c r="BE8" s="1130"/>
      <c r="BF8" s="1124">
        <f t="shared" ref="BF8:BF54" si="49">ROUND(C8*7/1000,0)</f>
        <v>8</v>
      </c>
      <c r="BG8" s="1100"/>
      <c r="BH8" s="1122">
        <v>8</v>
      </c>
      <c r="BI8" s="1124"/>
      <c r="BJ8" s="1100">
        <v>1</v>
      </c>
      <c r="BK8" s="1122"/>
      <c r="BL8" s="1124"/>
      <c r="BM8" s="1100">
        <v>1</v>
      </c>
      <c r="BN8" s="1122"/>
      <c r="BO8" s="1124"/>
      <c r="BP8" s="1100">
        <v>1</v>
      </c>
      <c r="BQ8" s="1122"/>
      <c r="BR8" s="1124"/>
      <c r="BS8" s="1100">
        <v>1</v>
      </c>
      <c r="BT8" s="1122"/>
      <c r="BU8" s="1124">
        <f t="shared" ref="BU8:BU54" si="50">ROUND(C8*6/1000,0)</f>
        <v>7</v>
      </c>
      <c r="BV8" s="1100"/>
      <c r="BW8" s="1122">
        <v>5</v>
      </c>
      <c r="BX8" s="1126">
        <f t="shared" ref="BX8:BX54" si="51">ROUND(C8*0.24/1000,1)</f>
        <v>0.3</v>
      </c>
      <c r="BY8" s="1108">
        <v>10</v>
      </c>
      <c r="BZ8" s="1122">
        <f t="shared" ref="BZ8:BZ54" si="52">IF(BX8-BY8&lt;0,0,BX8-BY8)</f>
        <v>0</v>
      </c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</row>
    <row r="9" spans="1:108" ht="15.75">
      <c r="A9" s="836">
        <v>3</v>
      </c>
      <c r="B9" s="725" t="s">
        <v>225</v>
      </c>
      <c r="C9" s="1117">
        <f>'проект числ-сть'!L8</f>
        <v>11</v>
      </c>
      <c r="D9" s="1121">
        <f t="shared" si="36"/>
        <v>1</v>
      </c>
      <c r="E9" s="1100"/>
      <c r="F9" s="1122"/>
      <c r="G9" s="1121">
        <f t="shared" si="18"/>
        <v>2</v>
      </c>
      <c r="H9" s="1100"/>
      <c r="I9" s="1122"/>
      <c r="J9" s="1124"/>
      <c r="K9" s="1100"/>
      <c r="L9" s="1122"/>
      <c r="M9" s="1124"/>
      <c r="N9" s="1100"/>
      <c r="O9" s="1122"/>
      <c r="P9" s="1124"/>
      <c r="Q9" s="1100"/>
      <c r="R9" s="1122"/>
      <c r="S9" s="1124"/>
      <c r="T9" s="1100"/>
      <c r="U9" s="1122"/>
      <c r="V9" s="1124"/>
      <c r="W9" s="1100"/>
      <c r="X9" s="1122"/>
      <c r="Y9" s="1124"/>
      <c r="Z9" s="1100"/>
      <c r="AA9" s="1122"/>
      <c r="AB9" s="1124"/>
      <c r="AC9" s="1100"/>
      <c r="AD9" s="1122"/>
      <c r="AE9" s="1124">
        <f t="shared" si="37"/>
        <v>0</v>
      </c>
      <c r="AF9" s="1100"/>
      <c r="AG9" s="1122">
        <f t="shared" si="38"/>
        <v>0</v>
      </c>
      <c r="AH9" s="1124">
        <f t="shared" si="39"/>
        <v>1</v>
      </c>
      <c r="AI9" s="1100"/>
      <c r="AJ9" s="1122">
        <f t="shared" si="40"/>
        <v>1</v>
      </c>
      <c r="AK9" s="1124">
        <f t="shared" si="41"/>
        <v>3</v>
      </c>
      <c r="AL9" s="1100"/>
      <c r="AM9" s="1122"/>
      <c r="AN9" s="1124">
        <f t="shared" si="42"/>
        <v>0</v>
      </c>
      <c r="AO9" s="1100"/>
      <c r="AP9" s="1122">
        <f t="shared" si="43"/>
        <v>0</v>
      </c>
      <c r="AQ9" s="1124">
        <f t="shared" si="44"/>
        <v>3</v>
      </c>
      <c r="AR9" s="1100"/>
      <c r="AS9" s="1122"/>
      <c r="AT9" s="1124">
        <f t="shared" si="45"/>
        <v>0</v>
      </c>
      <c r="AU9" s="1100"/>
      <c r="AV9" s="1122"/>
      <c r="AW9" s="1124">
        <f t="shared" si="46"/>
        <v>0</v>
      </c>
      <c r="AX9" s="1100"/>
      <c r="AY9" s="1122"/>
      <c r="AZ9" s="1124">
        <f t="shared" si="47"/>
        <v>1</v>
      </c>
      <c r="BA9" s="1100"/>
      <c r="BB9" s="1122"/>
      <c r="BC9" s="1136">
        <f t="shared" si="48"/>
        <v>0</v>
      </c>
      <c r="BD9" s="1130"/>
      <c r="BE9" s="1130"/>
      <c r="BF9" s="1124">
        <f t="shared" si="49"/>
        <v>0</v>
      </c>
      <c r="BG9" s="1100"/>
      <c r="BH9" s="1122"/>
      <c r="BI9" s="1124"/>
      <c r="BJ9" s="1100"/>
      <c r="BK9" s="1122"/>
      <c r="BL9" s="1124"/>
      <c r="BM9" s="1100"/>
      <c r="BN9" s="1122"/>
      <c r="BO9" s="1124"/>
      <c r="BP9" s="1100"/>
      <c r="BQ9" s="1122"/>
      <c r="BR9" s="1124"/>
      <c r="BS9" s="1100"/>
      <c r="BT9" s="1122"/>
      <c r="BU9" s="1124">
        <f t="shared" si="50"/>
        <v>0</v>
      </c>
      <c r="BV9" s="1100"/>
      <c r="BW9" s="1122"/>
      <c r="BX9" s="1126">
        <f t="shared" si="51"/>
        <v>0</v>
      </c>
      <c r="BY9" s="1108">
        <v>1.5</v>
      </c>
      <c r="BZ9" s="1122">
        <f t="shared" si="52"/>
        <v>0</v>
      </c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</row>
    <row r="10" spans="1:108" ht="15.75">
      <c r="A10" s="836">
        <v>4</v>
      </c>
      <c r="B10" s="725" t="s">
        <v>301</v>
      </c>
      <c r="C10" s="1117">
        <f>'проект числ-сть'!L9</f>
        <v>33</v>
      </c>
      <c r="D10" s="1121">
        <f t="shared" si="36"/>
        <v>3</v>
      </c>
      <c r="E10" s="1100"/>
      <c r="F10" s="1122"/>
      <c r="G10" s="1121">
        <f t="shared" si="18"/>
        <v>6</v>
      </c>
      <c r="H10" s="1100"/>
      <c r="I10" s="1122"/>
      <c r="J10" s="1124"/>
      <c r="K10" s="1100"/>
      <c r="L10" s="1122"/>
      <c r="M10" s="1124"/>
      <c r="N10" s="1100"/>
      <c r="O10" s="1122"/>
      <c r="P10" s="1124"/>
      <c r="Q10" s="1100"/>
      <c r="R10" s="1122"/>
      <c r="S10" s="1124"/>
      <c r="T10" s="1100">
        <v>1</v>
      </c>
      <c r="U10" s="1122"/>
      <c r="V10" s="1124"/>
      <c r="W10" s="1100"/>
      <c r="X10" s="1122"/>
      <c r="Y10" s="1124"/>
      <c r="Z10" s="1100"/>
      <c r="AA10" s="1122"/>
      <c r="AB10" s="1124"/>
      <c r="AC10" s="1100"/>
      <c r="AD10" s="1122">
        <v>1</v>
      </c>
      <c r="AE10" s="1124">
        <f t="shared" si="37"/>
        <v>0</v>
      </c>
      <c r="AF10" s="1100"/>
      <c r="AG10" s="1122">
        <f t="shared" si="38"/>
        <v>0</v>
      </c>
      <c r="AH10" s="1124">
        <f t="shared" si="39"/>
        <v>3</v>
      </c>
      <c r="AI10" s="1100"/>
      <c r="AJ10" s="1122">
        <f t="shared" si="40"/>
        <v>3</v>
      </c>
      <c r="AK10" s="1124">
        <f t="shared" si="41"/>
        <v>10</v>
      </c>
      <c r="AL10" s="1100">
        <v>0</v>
      </c>
      <c r="AM10" s="1122"/>
      <c r="AN10" s="1124">
        <f t="shared" si="42"/>
        <v>0</v>
      </c>
      <c r="AO10" s="1100"/>
      <c r="AP10" s="1122">
        <f t="shared" si="43"/>
        <v>0</v>
      </c>
      <c r="AQ10" s="1124">
        <f t="shared" si="44"/>
        <v>10</v>
      </c>
      <c r="AR10" s="1100"/>
      <c r="AS10" s="1122"/>
      <c r="AT10" s="1124">
        <f t="shared" si="45"/>
        <v>1</v>
      </c>
      <c r="AU10" s="1100"/>
      <c r="AV10" s="1122"/>
      <c r="AW10" s="1124">
        <f t="shared" si="46"/>
        <v>0</v>
      </c>
      <c r="AX10" s="1100"/>
      <c r="AY10" s="1122"/>
      <c r="AZ10" s="1124">
        <f t="shared" si="47"/>
        <v>2</v>
      </c>
      <c r="BA10" s="1100"/>
      <c r="BB10" s="1122"/>
      <c r="BC10" s="1136">
        <f t="shared" si="48"/>
        <v>0.1</v>
      </c>
      <c r="BD10" s="1130"/>
      <c r="BE10" s="1130"/>
      <c r="BF10" s="1124">
        <f t="shared" si="49"/>
        <v>0</v>
      </c>
      <c r="BG10" s="1100"/>
      <c r="BH10" s="1122"/>
      <c r="BI10" s="1124"/>
      <c r="BJ10" s="1100"/>
      <c r="BK10" s="1122"/>
      <c r="BL10" s="1124"/>
      <c r="BM10" s="1100"/>
      <c r="BN10" s="1122"/>
      <c r="BO10" s="1124"/>
      <c r="BP10" s="1100"/>
      <c r="BQ10" s="1122"/>
      <c r="BR10" s="1124"/>
      <c r="BS10" s="1100"/>
      <c r="BT10" s="1122"/>
      <c r="BU10" s="1124">
        <f t="shared" si="50"/>
        <v>0</v>
      </c>
      <c r="BV10" s="1100"/>
      <c r="BW10" s="1122"/>
      <c r="BX10" s="1126">
        <f t="shared" si="51"/>
        <v>0</v>
      </c>
      <c r="BY10" s="1108">
        <v>1.5</v>
      </c>
      <c r="BZ10" s="1122">
        <f t="shared" si="52"/>
        <v>0</v>
      </c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</row>
    <row r="11" spans="1:108" ht="15.75">
      <c r="A11" s="836">
        <v>5</v>
      </c>
      <c r="B11" s="725" t="s">
        <v>300</v>
      </c>
      <c r="C11" s="1117">
        <f>'проект числ-сть'!L10</f>
        <v>44</v>
      </c>
      <c r="D11" s="1121">
        <f t="shared" si="36"/>
        <v>4</v>
      </c>
      <c r="E11" s="1100"/>
      <c r="F11" s="1122"/>
      <c r="G11" s="1121">
        <f t="shared" si="18"/>
        <v>8</v>
      </c>
      <c r="H11" s="1100"/>
      <c r="I11" s="1122"/>
      <c r="J11" s="1124"/>
      <c r="K11" s="1100"/>
      <c r="L11" s="1122"/>
      <c r="M11" s="1124"/>
      <c r="N11" s="1100"/>
      <c r="O11" s="1122"/>
      <c r="P11" s="1124"/>
      <c r="Q11" s="1100"/>
      <c r="R11" s="1122"/>
      <c r="S11" s="1124"/>
      <c r="T11" s="1100"/>
      <c r="U11" s="1122"/>
      <c r="V11" s="1124"/>
      <c r="W11" s="1100"/>
      <c r="X11" s="1122"/>
      <c r="Y11" s="1124"/>
      <c r="Z11" s="1100"/>
      <c r="AA11" s="1122"/>
      <c r="AB11" s="1124"/>
      <c r="AC11" s="1100"/>
      <c r="AD11" s="1122"/>
      <c r="AE11" s="1124">
        <f t="shared" si="37"/>
        <v>0</v>
      </c>
      <c r="AF11" s="1100"/>
      <c r="AG11" s="1122">
        <f t="shared" si="38"/>
        <v>0</v>
      </c>
      <c r="AH11" s="1124">
        <f t="shared" si="39"/>
        <v>4</v>
      </c>
      <c r="AI11" s="1100"/>
      <c r="AJ11" s="1122">
        <f t="shared" si="40"/>
        <v>4</v>
      </c>
      <c r="AK11" s="1124">
        <f t="shared" si="41"/>
        <v>13</v>
      </c>
      <c r="AL11" s="1100">
        <v>0</v>
      </c>
      <c r="AM11" s="1122"/>
      <c r="AN11" s="1124">
        <f t="shared" si="42"/>
        <v>0</v>
      </c>
      <c r="AO11" s="1100"/>
      <c r="AP11" s="1122">
        <f t="shared" si="43"/>
        <v>0</v>
      </c>
      <c r="AQ11" s="1124">
        <f t="shared" si="44"/>
        <v>13</v>
      </c>
      <c r="AR11" s="1100"/>
      <c r="AS11" s="1122">
        <v>10</v>
      </c>
      <c r="AT11" s="1124">
        <f t="shared" si="45"/>
        <v>2</v>
      </c>
      <c r="AU11" s="1100"/>
      <c r="AV11" s="1122"/>
      <c r="AW11" s="1124">
        <f t="shared" si="46"/>
        <v>0</v>
      </c>
      <c r="AX11" s="1100"/>
      <c r="AY11" s="1122"/>
      <c r="AZ11" s="1124">
        <f t="shared" si="47"/>
        <v>3</v>
      </c>
      <c r="BA11" s="1100"/>
      <c r="BB11" s="1122"/>
      <c r="BC11" s="1136">
        <f t="shared" si="48"/>
        <v>0.2</v>
      </c>
      <c r="BD11" s="1130"/>
      <c r="BE11" s="1130"/>
      <c r="BF11" s="1124">
        <f t="shared" si="49"/>
        <v>0</v>
      </c>
      <c r="BG11" s="1100"/>
      <c r="BH11" s="1122"/>
      <c r="BI11" s="1124"/>
      <c r="BJ11" s="1100"/>
      <c r="BK11" s="1122"/>
      <c r="BL11" s="1124"/>
      <c r="BM11" s="1100"/>
      <c r="BN11" s="1122"/>
      <c r="BO11" s="1124"/>
      <c r="BP11" s="1100"/>
      <c r="BQ11" s="1122"/>
      <c r="BR11" s="1124"/>
      <c r="BS11" s="1100"/>
      <c r="BT11" s="1122"/>
      <c r="BU11" s="1124">
        <f t="shared" si="50"/>
        <v>0</v>
      </c>
      <c r="BV11" s="1100"/>
      <c r="BW11" s="1122"/>
      <c r="BX11" s="1126">
        <f t="shared" si="51"/>
        <v>0</v>
      </c>
      <c r="BY11" s="1108">
        <v>1</v>
      </c>
      <c r="BZ11" s="1122">
        <f t="shared" si="52"/>
        <v>0</v>
      </c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</row>
    <row r="12" spans="1:108" s="98" customFormat="1" ht="15.75">
      <c r="A12" s="990"/>
      <c r="B12" s="991" t="s">
        <v>254</v>
      </c>
      <c r="C12" s="1116">
        <f>'проект числ-сть'!L11</f>
        <v>430</v>
      </c>
      <c r="D12" s="1119">
        <f>D13+D14</f>
        <v>44</v>
      </c>
      <c r="E12" s="992">
        <f t="shared" ref="E12:F12" si="53">E13+E14</f>
        <v>0</v>
      </c>
      <c r="F12" s="1120">
        <f t="shared" si="53"/>
        <v>30</v>
      </c>
      <c r="G12" s="1119">
        <f t="shared" ref="G12" si="54">G13+G14</f>
        <v>77</v>
      </c>
      <c r="H12" s="992">
        <f t="shared" ref="H12:I12" si="55">H13+H14</f>
        <v>0</v>
      </c>
      <c r="I12" s="1120">
        <f t="shared" si="55"/>
        <v>0</v>
      </c>
      <c r="J12" s="1119">
        <f t="shared" ref="J12" si="56">J13+J14</f>
        <v>0</v>
      </c>
      <c r="K12" s="992">
        <f t="shared" ref="K12:L12" si="57">K13+K14</f>
        <v>0</v>
      </c>
      <c r="L12" s="1120">
        <f t="shared" si="57"/>
        <v>0</v>
      </c>
      <c r="M12" s="1119">
        <f t="shared" ref="M12" si="58">M13+M14</f>
        <v>0</v>
      </c>
      <c r="N12" s="992">
        <f t="shared" ref="N12:R12" si="59">N13+N14</f>
        <v>0</v>
      </c>
      <c r="O12" s="1120">
        <f t="shared" si="59"/>
        <v>0</v>
      </c>
      <c r="P12" s="1119">
        <f t="shared" si="59"/>
        <v>0</v>
      </c>
      <c r="Q12" s="992">
        <f t="shared" si="59"/>
        <v>0</v>
      </c>
      <c r="R12" s="1120">
        <f t="shared" si="59"/>
        <v>0</v>
      </c>
      <c r="S12" s="1119">
        <f t="shared" ref="S12" si="60">S13+S14</f>
        <v>0</v>
      </c>
      <c r="T12" s="992">
        <f t="shared" ref="T12:U12" si="61">T13+T14</f>
        <v>0</v>
      </c>
      <c r="U12" s="1120">
        <f t="shared" si="61"/>
        <v>0</v>
      </c>
      <c r="V12" s="1119">
        <f t="shared" ref="V12" si="62">V13+V14</f>
        <v>0</v>
      </c>
      <c r="W12" s="992">
        <f t="shared" ref="W12:X12" si="63">W13+W14</f>
        <v>0</v>
      </c>
      <c r="X12" s="1120">
        <f t="shared" si="63"/>
        <v>0</v>
      </c>
      <c r="Y12" s="1119">
        <f t="shared" ref="Y12" si="64">Y13+Y14</f>
        <v>0</v>
      </c>
      <c r="Z12" s="992">
        <f t="shared" ref="Z12:AA12" si="65">Z13+Z14</f>
        <v>0</v>
      </c>
      <c r="AA12" s="1120">
        <f t="shared" si="65"/>
        <v>0</v>
      </c>
      <c r="AB12" s="1119">
        <f t="shared" ref="AB12" si="66">AB13+AB14</f>
        <v>0</v>
      </c>
      <c r="AC12" s="992">
        <f t="shared" ref="AC12:AD12" si="67">AC13+AC14</f>
        <v>0</v>
      </c>
      <c r="AD12" s="1120">
        <f t="shared" si="67"/>
        <v>0</v>
      </c>
      <c r="AE12" s="1119">
        <f t="shared" ref="AE12" si="68">AE13+AE14</f>
        <v>0.30000000000000004</v>
      </c>
      <c r="AF12" s="992" t="s">
        <v>890</v>
      </c>
      <c r="AG12" s="1120">
        <f t="shared" ref="AG12" si="69">AG13+AG14</f>
        <v>0.30000000000000004</v>
      </c>
      <c r="AH12" s="1119">
        <f t="shared" ref="AH12" si="70">AH13+AH14</f>
        <v>35</v>
      </c>
      <c r="AI12" s="992">
        <f t="shared" ref="AI12:AJ12" si="71">AI13+AI14</f>
        <v>0</v>
      </c>
      <c r="AJ12" s="1120">
        <f t="shared" si="71"/>
        <v>35</v>
      </c>
      <c r="AK12" s="1119">
        <f t="shared" ref="AK12" si="72">AK13+AK14</f>
        <v>130</v>
      </c>
      <c r="AL12" s="992">
        <f t="shared" ref="AL12:AM12" si="73">AL13+AL14</f>
        <v>290</v>
      </c>
      <c r="AM12" s="1120">
        <f t="shared" si="73"/>
        <v>0</v>
      </c>
      <c r="AN12" s="1119">
        <f t="shared" ref="AN12" si="74">AN13+AN14</f>
        <v>2</v>
      </c>
      <c r="AO12" s="992" t="s">
        <v>890</v>
      </c>
      <c r="AP12" s="1120" t="s">
        <v>890</v>
      </c>
      <c r="AQ12" s="1119">
        <f t="shared" ref="AQ12" si="75">AQ13+AQ14</f>
        <v>130</v>
      </c>
      <c r="AR12" s="992" t="s">
        <v>890</v>
      </c>
      <c r="AS12" s="1120">
        <f t="shared" ref="AS12" si="76">AS13+AS14</f>
        <v>0</v>
      </c>
      <c r="AT12" s="1119">
        <f t="shared" ref="AT12" si="77">AT13+AT14</f>
        <v>17</v>
      </c>
      <c r="AU12" s="992">
        <f t="shared" ref="AU12:AV12" si="78">AU13+AU14</f>
        <v>20</v>
      </c>
      <c r="AV12" s="1120">
        <f t="shared" si="78"/>
        <v>0</v>
      </c>
      <c r="AW12" s="1119">
        <f t="shared" ref="AW12" si="79">AW13+AW14</f>
        <v>3</v>
      </c>
      <c r="AX12" s="992">
        <f t="shared" ref="AX12:AY12" si="80">AX13+AX14</f>
        <v>0</v>
      </c>
      <c r="AY12" s="1120">
        <f t="shared" si="80"/>
        <v>2</v>
      </c>
      <c r="AZ12" s="1119">
        <f t="shared" ref="AZ12:BX12" si="81">AZ13+AZ14</f>
        <v>26</v>
      </c>
      <c r="BA12" s="992">
        <f t="shared" si="81"/>
        <v>0</v>
      </c>
      <c r="BB12" s="1120">
        <f t="shared" si="81"/>
        <v>0</v>
      </c>
      <c r="BC12" s="1135">
        <f t="shared" si="81"/>
        <v>1.5</v>
      </c>
      <c r="BD12" s="992">
        <f t="shared" si="81"/>
        <v>0</v>
      </c>
      <c r="BE12" s="992">
        <f t="shared" si="81"/>
        <v>0</v>
      </c>
      <c r="BF12" s="1119">
        <f t="shared" si="81"/>
        <v>3</v>
      </c>
      <c r="BG12" s="992">
        <f t="shared" si="81"/>
        <v>0</v>
      </c>
      <c r="BH12" s="1120">
        <f t="shared" si="81"/>
        <v>3</v>
      </c>
      <c r="BI12" s="1119">
        <f t="shared" si="81"/>
        <v>0</v>
      </c>
      <c r="BJ12" s="992">
        <f t="shared" si="81"/>
        <v>0</v>
      </c>
      <c r="BK12" s="1120">
        <f t="shared" si="81"/>
        <v>0</v>
      </c>
      <c r="BL12" s="1119">
        <f t="shared" si="81"/>
        <v>0</v>
      </c>
      <c r="BM12" s="992">
        <f t="shared" si="81"/>
        <v>0</v>
      </c>
      <c r="BN12" s="1120">
        <f t="shared" si="81"/>
        <v>1</v>
      </c>
      <c r="BO12" s="1119">
        <f t="shared" si="81"/>
        <v>0</v>
      </c>
      <c r="BP12" s="992">
        <f t="shared" si="81"/>
        <v>0</v>
      </c>
      <c r="BQ12" s="1120">
        <f t="shared" si="81"/>
        <v>0</v>
      </c>
      <c r="BR12" s="1119">
        <f t="shared" si="81"/>
        <v>0</v>
      </c>
      <c r="BS12" s="992">
        <f t="shared" si="81"/>
        <v>1</v>
      </c>
      <c r="BT12" s="1120">
        <f t="shared" si="81"/>
        <v>0</v>
      </c>
      <c r="BU12" s="1119">
        <f t="shared" si="81"/>
        <v>2</v>
      </c>
      <c r="BV12" s="992">
        <f t="shared" si="81"/>
        <v>0</v>
      </c>
      <c r="BW12" s="1120">
        <f t="shared" si="81"/>
        <v>2</v>
      </c>
      <c r="BX12" s="1125">
        <f t="shared" si="81"/>
        <v>0.1</v>
      </c>
      <c r="BY12" s="1107" t="s">
        <v>890</v>
      </c>
      <c r="BZ12" s="1127">
        <v>0</v>
      </c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576"/>
      <c r="CZ12" s="576"/>
      <c r="DA12" s="576"/>
      <c r="DB12" s="576"/>
      <c r="DC12" s="576"/>
      <c r="DD12" s="576"/>
    </row>
    <row r="13" spans="1:108" s="98" customFormat="1" ht="15.75">
      <c r="A13" s="836">
        <v>6</v>
      </c>
      <c r="B13" s="859" t="s">
        <v>694</v>
      </c>
      <c r="C13" s="1117">
        <f>'проект числ-сть'!L12</f>
        <v>195</v>
      </c>
      <c r="D13" s="1121">
        <f t="shared" si="36"/>
        <v>20</v>
      </c>
      <c r="E13" s="1100"/>
      <c r="F13" s="1122">
        <v>15</v>
      </c>
      <c r="G13" s="1121">
        <f t="shared" si="18"/>
        <v>35</v>
      </c>
      <c r="H13" s="1100"/>
      <c r="I13" s="1122"/>
      <c r="J13" s="1124"/>
      <c r="K13" s="1100"/>
      <c r="L13" s="1122"/>
      <c r="M13" s="1124"/>
      <c r="N13" s="1100"/>
      <c r="O13" s="1122"/>
      <c r="P13" s="1124"/>
      <c r="Q13" s="1100"/>
      <c r="R13" s="1122"/>
      <c r="S13" s="1124"/>
      <c r="T13" s="1100"/>
      <c r="U13" s="1122"/>
      <c r="V13" s="1124"/>
      <c r="W13" s="1100"/>
      <c r="X13" s="1122"/>
      <c r="Y13" s="1124"/>
      <c r="Z13" s="1100"/>
      <c r="AA13" s="1122"/>
      <c r="AB13" s="1124"/>
      <c r="AC13" s="1100"/>
      <c r="AD13" s="1122"/>
      <c r="AE13" s="1124">
        <f t="shared" si="37"/>
        <v>0.1</v>
      </c>
      <c r="AF13" s="1100"/>
      <c r="AG13" s="1122">
        <f t="shared" si="38"/>
        <v>0.1</v>
      </c>
      <c r="AH13" s="1124">
        <f t="shared" si="39"/>
        <v>16</v>
      </c>
      <c r="AI13" s="1100"/>
      <c r="AJ13" s="1122">
        <f t="shared" si="40"/>
        <v>16</v>
      </c>
      <c r="AK13" s="1124">
        <f t="shared" si="41"/>
        <v>59</v>
      </c>
      <c r="AL13" s="1100">
        <v>190</v>
      </c>
      <c r="AM13" s="1122"/>
      <c r="AN13" s="1124">
        <f t="shared" si="42"/>
        <v>1</v>
      </c>
      <c r="AO13" s="1100" t="s">
        <v>890</v>
      </c>
      <c r="AP13" s="1122" t="s">
        <v>890</v>
      </c>
      <c r="AQ13" s="1124">
        <f t="shared" si="44"/>
        <v>59</v>
      </c>
      <c r="AR13" s="1100"/>
      <c r="AS13" s="1122"/>
      <c r="AT13" s="1124">
        <f t="shared" si="45"/>
        <v>8</v>
      </c>
      <c r="AU13" s="1100">
        <v>20</v>
      </c>
      <c r="AV13" s="1122"/>
      <c r="AW13" s="1124">
        <f t="shared" si="46"/>
        <v>1</v>
      </c>
      <c r="AX13" s="1100"/>
      <c r="AY13" s="1122">
        <v>2</v>
      </c>
      <c r="AZ13" s="1124">
        <f t="shared" si="47"/>
        <v>12</v>
      </c>
      <c r="BA13" s="1100"/>
      <c r="BB13" s="1122"/>
      <c r="BC13" s="1136">
        <f t="shared" si="48"/>
        <v>0.7</v>
      </c>
      <c r="BD13" s="1130"/>
      <c r="BE13" s="1130"/>
      <c r="BF13" s="1124">
        <f t="shared" si="49"/>
        <v>1</v>
      </c>
      <c r="BG13" s="1100"/>
      <c r="BH13" s="1122">
        <v>3</v>
      </c>
      <c r="BI13" s="1124"/>
      <c r="BJ13" s="1100"/>
      <c r="BK13" s="1122"/>
      <c r="BL13" s="1124"/>
      <c r="BM13" s="1100"/>
      <c r="BN13" s="1122">
        <v>1</v>
      </c>
      <c r="BO13" s="1124"/>
      <c r="BP13" s="1100"/>
      <c r="BQ13" s="1122"/>
      <c r="BR13" s="1124"/>
      <c r="BS13" s="1100">
        <v>1</v>
      </c>
      <c r="BT13" s="1122"/>
      <c r="BU13" s="1124">
        <f t="shared" si="50"/>
        <v>1</v>
      </c>
      <c r="BV13" s="1100"/>
      <c r="BW13" s="1122">
        <v>2</v>
      </c>
      <c r="BX13" s="1126">
        <f t="shared" si="51"/>
        <v>0</v>
      </c>
      <c r="BY13" s="1108" t="s">
        <v>890</v>
      </c>
      <c r="BZ13" s="1128">
        <v>0</v>
      </c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</row>
    <row r="14" spans="1:108" ht="15.75">
      <c r="A14" s="836">
        <v>4</v>
      </c>
      <c r="B14" s="859" t="s">
        <v>618</v>
      </c>
      <c r="C14" s="1117">
        <f>'проект числ-сть'!L13</f>
        <v>235</v>
      </c>
      <c r="D14" s="1121">
        <f t="shared" si="36"/>
        <v>24</v>
      </c>
      <c r="E14" s="1100"/>
      <c r="F14" s="1122">
        <v>15</v>
      </c>
      <c r="G14" s="1121">
        <f t="shared" si="18"/>
        <v>42</v>
      </c>
      <c r="H14" s="1100"/>
      <c r="I14" s="1122"/>
      <c r="J14" s="1124"/>
      <c r="K14" s="1100"/>
      <c r="L14" s="1122"/>
      <c r="M14" s="1124"/>
      <c r="N14" s="1100"/>
      <c r="O14" s="1122"/>
      <c r="P14" s="1124"/>
      <c r="Q14" s="1100"/>
      <c r="R14" s="1122"/>
      <c r="S14" s="1124"/>
      <c r="T14" s="1100"/>
      <c r="U14" s="1122"/>
      <c r="V14" s="1124"/>
      <c r="W14" s="1100"/>
      <c r="X14" s="1122"/>
      <c r="Y14" s="1124"/>
      <c r="Z14" s="1100"/>
      <c r="AA14" s="1122"/>
      <c r="AB14" s="1124"/>
      <c r="AC14" s="1100"/>
      <c r="AD14" s="1122"/>
      <c r="AE14" s="1124">
        <f t="shared" si="37"/>
        <v>0.2</v>
      </c>
      <c r="AF14" s="1100"/>
      <c r="AG14" s="1122">
        <f t="shared" si="38"/>
        <v>0.2</v>
      </c>
      <c r="AH14" s="1124">
        <f t="shared" si="39"/>
        <v>19</v>
      </c>
      <c r="AI14" s="1100"/>
      <c r="AJ14" s="1122">
        <f t="shared" si="40"/>
        <v>19</v>
      </c>
      <c r="AK14" s="1124">
        <f t="shared" si="41"/>
        <v>71</v>
      </c>
      <c r="AL14" s="1100">
        <v>100</v>
      </c>
      <c r="AM14" s="1122"/>
      <c r="AN14" s="1124">
        <f t="shared" si="42"/>
        <v>1</v>
      </c>
      <c r="AO14" s="1100" t="s">
        <v>890</v>
      </c>
      <c r="AP14" s="1122" t="s">
        <v>890</v>
      </c>
      <c r="AQ14" s="1124">
        <f t="shared" si="44"/>
        <v>71</v>
      </c>
      <c r="AR14" s="1100"/>
      <c r="AS14" s="1122"/>
      <c r="AT14" s="1124">
        <f t="shared" si="45"/>
        <v>9</v>
      </c>
      <c r="AU14" s="1100"/>
      <c r="AV14" s="1122"/>
      <c r="AW14" s="1124">
        <f t="shared" si="46"/>
        <v>2</v>
      </c>
      <c r="AX14" s="1100"/>
      <c r="AY14" s="1122"/>
      <c r="AZ14" s="1124">
        <f t="shared" si="47"/>
        <v>14</v>
      </c>
      <c r="BA14" s="1100"/>
      <c r="BB14" s="1122"/>
      <c r="BC14" s="1136">
        <f t="shared" si="48"/>
        <v>0.8</v>
      </c>
      <c r="BD14" s="1130"/>
      <c r="BE14" s="1130"/>
      <c r="BF14" s="1124">
        <f t="shared" si="49"/>
        <v>2</v>
      </c>
      <c r="BG14" s="1100"/>
      <c r="BH14" s="1122"/>
      <c r="BI14" s="1124"/>
      <c r="BJ14" s="1100"/>
      <c r="BK14" s="1122"/>
      <c r="BL14" s="1124"/>
      <c r="BM14" s="1100"/>
      <c r="BN14" s="1122"/>
      <c r="BO14" s="1124"/>
      <c r="BP14" s="1100"/>
      <c r="BQ14" s="1122"/>
      <c r="BR14" s="1124"/>
      <c r="BS14" s="1100"/>
      <c r="BT14" s="1122"/>
      <c r="BU14" s="1124">
        <f t="shared" si="50"/>
        <v>1</v>
      </c>
      <c r="BV14" s="1100"/>
      <c r="BW14" s="1122"/>
      <c r="BX14" s="1126">
        <f t="shared" si="51"/>
        <v>0.1</v>
      </c>
      <c r="BY14" s="1108" t="s">
        <v>890</v>
      </c>
      <c r="BZ14" s="1128">
        <v>0</v>
      </c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</row>
    <row r="15" spans="1:108" s="98" customFormat="1" ht="15.75">
      <c r="A15" s="990"/>
      <c r="B15" s="991" t="s">
        <v>257</v>
      </c>
      <c r="C15" s="1116">
        <f>'проект числ-сть'!L14</f>
        <v>752</v>
      </c>
      <c r="D15" s="1119">
        <f>D16+D17+D18</f>
        <v>75</v>
      </c>
      <c r="E15" s="992">
        <f t="shared" ref="E15:F15" si="82">E16+E17+E18</f>
        <v>0</v>
      </c>
      <c r="F15" s="1120">
        <f t="shared" si="82"/>
        <v>40</v>
      </c>
      <c r="G15" s="1119">
        <f t="shared" ref="G15" si="83">G16+G17+G18</f>
        <v>136</v>
      </c>
      <c r="H15" s="992">
        <f t="shared" ref="H15:I15" si="84">H16+H17+H18</f>
        <v>450</v>
      </c>
      <c r="I15" s="1120">
        <f t="shared" si="84"/>
        <v>0</v>
      </c>
      <c r="J15" s="1119">
        <f t="shared" ref="J15" si="85">J16+J17+J18</f>
        <v>0</v>
      </c>
      <c r="K15" s="992">
        <f t="shared" ref="K15:L15" si="86">K16+K17+K18</f>
        <v>0</v>
      </c>
      <c r="L15" s="1120">
        <f t="shared" si="86"/>
        <v>0</v>
      </c>
      <c r="M15" s="1119">
        <f t="shared" ref="M15" si="87">M16+M17+M18</f>
        <v>0</v>
      </c>
      <c r="N15" s="992">
        <f t="shared" ref="N15:R15" si="88">N16+N17+N18</f>
        <v>0</v>
      </c>
      <c r="O15" s="1120">
        <f t="shared" si="88"/>
        <v>50</v>
      </c>
      <c r="P15" s="1119">
        <f t="shared" si="88"/>
        <v>0</v>
      </c>
      <c r="Q15" s="992">
        <f t="shared" si="88"/>
        <v>0</v>
      </c>
      <c r="R15" s="1120">
        <f t="shared" si="88"/>
        <v>0</v>
      </c>
      <c r="S15" s="1119">
        <f t="shared" ref="S15" si="89">S16+S17+S18</f>
        <v>0</v>
      </c>
      <c r="T15" s="992">
        <f t="shared" ref="T15:U15" si="90">T16+T17+T18</f>
        <v>1</v>
      </c>
      <c r="U15" s="1120">
        <f t="shared" si="90"/>
        <v>0</v>
      </c>
      <c r="V15" s="1119">
        <f t="shared" ref="V15" si="91">V16+V17+V18</f>
        <v>0</v>
      </c>
      <c r="W15" s="992">
        <f t="shared" ref="W15:X15" si="92">W16+W17+W18</f>
        <v>0</v>
      </c>
      <c r="X15" s="1120">
        <f t="shared" si="92"/>
        <v>0</v>
      </c>
      <c r="Y15" s="1119">
        <f t="shared" ref="Y15" si="93">Y16+Y17+Y18</f>
        <v>0</v>
      </c>
      <c r="Z15" s="992">
        <f t="shared" ref="Z15:AA15" si="94">Z16+Z17+Z18</f>
        <v>0</v>
      </c>
      <c r="AA15" s="1120">
        <f t="shared" si="94"/>
        <v>0</v>
      </c>
      <c r="AB15" s="1119">
        <f t="shared" ref="AB15" si="95">AB16+AB17+AB18</f>
        <v>0</v>
      </c>
      <c r="AC15" s="992">
        <f t="shared" ref="AC15:AD15" si="96">AC16+AC17+AC18</f>
        <v>0</v>
      </c>
      <c r="AD15" s="1120">
        <f t="shared" si="96"/>
        <v>1</v>
      </c>
      <c r="AE15" s="1119">
        <f t="shared" ref="AE15" si="97">AE16+AE17+AE18</f>
        <v>0.5</v>
      </c>
      <c r="AF15" s="992" t="s">
        <v>890</v>
      </c>
      <c r="AG15" s="1120">
        <f t="shared" ref="AG15" si="98">AG16+AG17+AG18</f>
        <v>0.5</v>
      </c>
      <c r="AH15" s="1119">
        <f t="shared" ref="AH15" si="99">AH16+AH17+AH18</f>
        <v>60</v>
      </c>
      <c r="AI15" s="992">
        <f t="shared" ref="AI15:AJ15" si="100">AI16+AI17+AI18</f>
        <v>326</v>
      </c>
      <c r="AJ15" s="1120">
        <f t="shared" si="100"/>
        <v>4</v>
      </c>
      <c r="AK15" s="1119">
        <f t="shared" ref="AK15" si="101">AK16+AK17+AK18</f>
        <v>225</v>
      </c>
      <c r="AL15" s="992">
        <f t="shared" ref="AL15:AM15" si="102">AL16+AL17+AL18</f>
        <v>160</v>
      </c>
      <c r="AM15" s="1120">
        <f t="shared" si="102"/>
        <v>0</v>
      </c>
      <c r="AN15" s="1119">
        <f t="shared" ref="AN15" si="103">AN16+AN17+AN18</f>
        <v>4</v>
      </c>
      <c r="AO15" s="992" t="s">
        <v>890</v>
      </c>
      <c r="AP15" s="1120" t="s">
        <v>890</v>
      </c>
      <c r="AQ15" s="1119">
        <f t="shared" ref="AQ15" si="104">AQ16+AQ17+AQ18</f>
        <v>225</v>
      </c>
      <c r="AR15" s="992" t="s">
        <v>890</v>
      </c>
      <c r="AS15" s="1120">
        <f t="shared" ref="AS15" si="105">AS16+AS17+AS18</f>
        <v>0</v>
      </c>
      <c r="AT15" s="1119">
        <f t="shared" ref="AT15" si="106">AT16+AT17+AT18</f>
        <v>30</v>
      </c>
      <c r="AU15" s="992">
        <f t="shared" ref="AU15:AV15" si="107">AU16+AU17+AU18</f>
        <v>0</v>
      </c>
      <c r="AV15" s="1120">
        <f t="shared" si="107"/>
        <v>20</v>
      </c>
      <c r="AW15" s="1119">
        <f t="shared" ref="AW15" si="108">AW16+AW17+AW18</f>
        <v>5</v>
      </c>
      <c r="AX15" s="992">
        <f t="shared" ref="AX15:AY15" si="109">AX16+AX17+AX18</f>
        <v>0</v>
      </c>
      <c r="AY15" s="1120">
        <f t="shared" si="109"/>
        <v>4</v>
      </c>
      <c r="AZ15" s="1119">
        <f t="shared" ref="AZ15:BZ15" si="110">AZ16+AZ17+AZ18</f>
        <v>45</v>
      </c>
      <c r="BA15" s="992">
        <f t="shared" si="110"/>
        <v>0</v>
      </c>
      <c r="BB15" s="1120">
        <f t="shared" si="110"/>
        <v>0</v>
      </c>
      <c r="BC15" s="1135">
        <f t="shared" si="110"/>
        <v>2.7</v>
      </c>
      <c r="BD15" s="992">
        <f t="shared" si="110"/>
        <v>0</v>
      </c>
      <c r="BE15" s="992">
        <f t="shared" si="110"/>
        <v>0</v>
      </c>
      <c r="BF15" s="1119">
        <f t="shared" si="110"/>
        <v>5</v>
      </c>
      <c r="BG15" s="992">
        <f t="shared" si="110"/>
        <v>0</v>
      </c>
      <c r="BH15" s="1120">
        <f t="shared" si="110"/>
        <v>5</v>
      </c>
      <c r="BI15" s="1119">
        <f t="shared" si="110"/>
        <v>0</v>
      </c>
      <c r="BJ15" s="992">
        <f t="shared" si="110"/>
        <v>1</v>
      </c>
      <c r="BK15" s="1120">
        <f t="shared" si="110"/>
        <v>0</v>
      </c>
      <c r="BL15" s="1119">
        <f t="shared" si="110"/>
        <v>0</v>
      </c>
      <c r="BM15" s="992">
        <f t="shared" si="110"/>
        <v>0</v>
      </c>
      <c r="BN15" s="1120">
        <f t="shared" si="110"/>
        <v>0</v>
      </c>
      <c r="BO15" s="1119">
        <f t="shared" si="110"/>
        <v>0</v>
      </c>
      <c r="BP15" s="992">
        <f t="shared" si="110"/>
        <v>1</v>
      </c>
      <c r="BQ15" s="1120">
        <f t="shared" si="110"/>
        <v>0</v>
      </c>
      <c r="BR15" s="1119">
        <f t="shared" si="110"/>
        <v>0</v>
      </c>
      <c r="BS15" s="992">
        <f t="shared" si="110"/>
        <v>1</v>
      </c>
      <c r="BT15" s="1120">
        <f t="shared" si="110"/>
        <v>0</v>
      </c>
      <c r="BU15" s="1119">
        <f t="shared" si="110"/>
        <v>4</v>
      </c>
      <c r="BV15" s="992">
        <f t="shared" si="110"/>
        <v>0</v>
      </c>
      <c r="BW15" s="1120">
        <f t="shared" si="110"/>
        <v>2</v>
      </c>
      <c r="BX15" s="1125">
        <f t="shared" si="110"/>
        <v>0.1</v>
      </c>
      <c r="BY15" s="1107">
        <f t="shared" si="110"/>
        <v>5.5</v>
      </c>
      <c r="BZ15" s="1120">
        <f t="shared" si="110"/>
        <v>0</v>
      </c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576"/>
      <c r="CZ15" s="576"/>
      <c r="DA15" s="576"/>
      <c r="DB15" s="576"/>
      <c r="DC15" s="576"/>
      <c r="DD15" s="576"/>
    </row>
    <row r="16" spans="1:108" ht="15.75">
      <c r="A16" s="836">
        <v>5</v>
      </c>
      <c r="B16" s="859" t="s">
        <v>598</v>
      </c>
      <c r="C16" s="1117">
        <f>'проект числ-сть'!L15</f>
        <v>514</v>
      </c>
      <c r="D16" s="1121">
        <f t="shared" si="36"/>
        <v>51</v>
      </c>
      <c r="E16" s="1100"/>
      <c r="F16" s="1122">
        <v>40</v>
      </c>
      <c r="G16" s="1121">
        <f t="shared" si="18"/>
        <v>93</v>
      </c>
      <c r="H16" s="1100">
        <v>170</v>
      </c>
      <c r="I16" s="1122"/>
      <c r="J16" s="1124"/>
      <c r="K16" s="1100"/>
      <c r="L16" s="1122"/>
      <c r="M16" s="1124"/>
      <c r="N16" s="1100">
        <v>0</v>
      </c>
      <c r="O16" s="1122">
        <v>50</v>
      </c>
      <c r="P16" s="1124"/>
      <c r="Q16" s="1100"/>
      <c r="R16" s="1122"/>
      <c r="S16" s="1124"/>
      <c r="T16" s="1100"/>
      <c r="U16" s="1122"/>
      <c r="V16" s="1124"/>
      <c r="W16" s="1100"/>
      <c r="X16" s="1122"/>
      <c r="Y16" s="1124"/>
      <c r="Z16" s="1100"/>
      <c r="AA16" s="1122"/>
      <c r="AB16" s="1124"/>
      <c r="AC16" s="1100">
        <v>0</v>
      </c>
      <c r="AD16" s="1122">
        <v>1</v>
      </c>
      <c r="AE16" s="1124">
        <f t="shared" si="37"/>
        <v>0.4</v>
      </c>
      <c r="AF16" s="1100"/>
      <c r="AG16" s="1122">
        <f t="shared" si="38"/>
        <v>0.4</v>
      </c>
      <c r="AH16" s="1124">
        <f t="shared" si="39"/>
        <v>41</v>
      </c>
      <c r="AI16" s="1100">
        <v>198</v>
      </c>
      <c r="AJ16" s="1122">
        <f t="shared" si="40"/>
        <v>0</v>
      </c>
      <c r="AK16" s="1124">
        <f t="shared" si="41"/>
        <v>154</v>
      </c>
      <c r="AL16" s="1100">
        <v>100</v>
      </c>
      <c r="AM16" s="1122"/>
      <c r="AN16" s="1124">
        <f t="shared" si="42"/>
        <v>3</v>
      </c>
      <c r="AO16" s="1100">
        <v>0</v>
      </c>
      <c r="AP16" s="1122">
        <f t="shared" si="43"/>
        <v>3</v>
      </c>
      <c r="AQ16" s="1124">
        <f t="shared" si="44"/>
        <v>154</v>
      </c>
      <c r="AR16" s="1100"/>
      <c r="AS16" s="1122"/>
      <c r="AT16" s="1124">
        <f t="shared" si="45"/>
        <v>21</v>
      </c>
      <c r="AU16" s="1100"/>
      <c r="AV16" s="1122">
        <v>20</v>
      </c>
      <c r="AW16" s="1124">
        <f t="shared" si="46"/>
        <v>4</v>
      </c>
      <c r="AX16" s="1100"/>
      <c r="AY16" s="1122">
        <f t="shared" ref="AY16" si="111">IF(AW16-AX16&lt;0,0,AW16-AX16)</f>
        <v>4</v>
      </c>
      <c r="AZ16" s="1124">
        <f t="shared" si="47"/>
        <v>31</v>
      </c>
      <c r="BA16" s="1100"/>
      <c r="BB16" s="1122"/>
      <c r="BC16" s="1136">
        <f t="shared" si="48"/>
        <v>1.8</v>
      </c>
      <c r="BD16" s="1130"/>
      <c r="BE16" s="1130"/>
      <c r="BF16" s="1124">
        <f t="shared" si="49"/>
        <v>4</v>
      </c>
      <c r="BG16" s="1100"/>
      <c r="BH16" s="1122">
        <v>5</v>
      </c>
      <c r="BI16" s="1124"/>
      <c r="BJ16" s="1100">
        <v>1</v>
      </c>
      <c r="BK16" s="1122"/>
      <c r="BL16" s="1124"/>
      <c r="BM16" s="1100"/>
      <c r="BN16" s="1122"/>
      <c r="BO16" s="1124"/>
      <c r="BP16" s="1100">
        <v>1</v>
      </c>
      <c r="BQ16" s="1122"/>
      <c r="BR16" s="1124"/>
      <c r="BS16" s="1100">
        <v>1</v>
      </c>
      <c r="BT16" s="1122"/>
      <c r="BU16" s="1124">
        <f t="shared" si="50"/>
        <v>3</v>
      </c>
      <c r="BV16" s="1100"/>
      <c r="BW16" s="1122">
        <v>2</v>
      </c>
      <c r="BX16" s="1126">
        <f t="shared" si="51"/>
        <v>0.1</v>
      </c>
      <c r="BY16" s="1108">
        <v>2.5</v>
      </c>
      <c r="BZ16" s="1122">
        <f t="shared" si="52"/>
        <v>0</v>
      </c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</row>
    <row r="17" spans="1:108" ht="15.75">
      <c r="A17" s="836">
        <v>6</v>
      </c>
      <c r="B17" s="859" t="s">
        <v>695</v>
      </c>
      <c r="C17" s="1117">
        <f>'проект числ-сть'!L16</f>
        <v>51</v>
      </c>
      <c r="D17" s="1121">
        <f t="shared" si="36"/>
        <v>5</v>
      </c>
      <c r="E17" s="1100"/>
      <c r="F17" s="1122"/>
      <c r="G17" s="1121">
        <f t="shared" si="18"/>
        <v>9</v>
      </c>
      <c r="H17" s="1100"/>
      <c r="I17" s="1122"/>
      <c r="J17" s="1124"/>
      <c r="K17" s="1100"/>
      <c r="L17" s="1122"/>
      <c r="M17" s="1124"/>
      <c r="N17" s="1100"/>
      <c r="O17" s="1122"/>
      <c r="P17" s="1124"/>
      <c r="Q17" s="1100"/>
      <c r="R17" s="1122"/>
      <c r="S17" s="1124"/>
      <c r="T17" s="1100"/>
      <c r="U17" s="1122"/>
      <c r="V17" s="1124"/>
      <c r="W17" s="1100"/>
      <c r="X17" s="1122"/>
      <c r="Y17" s="1124"/>
      <c r="Z17" s="1100"/>
      <c r="AA17" s="1122"/>
      <c r="AB17" s="1124"/>
      <c r="AC17" s="1100"/>
      <c r="AD17" s="1122"/>
      <c r="AE17" s="1124">
        <f t="shared" si="37"/>
        <v>0</v>
      </c>
      <c r="AF17" s="1100"/>
      <c r="AG17" s="1122">
        <f t="shared" si="38"/>
        <v>0</v>
      </c>
      <c r="AH17" s="1124">
        <f t="shared" si="39"/>
        <v>4</v>
      </c>
      <c r="AI17" s="1100"/>
      <c r="AJ17" s="1122">
        <f t="shared" si="40"/>
        <v>4</v>
      </c>
      <c r="AK17" s="1124">
        <f t="shared" si="41"/>
        <v>15</v>
      </c>
      <c r="AL17" s="1100"/>
      <c r="AM17" s="1122"/>
      <c r="AN17" s="1124">
        <f t="shared" si="42"/>
        <v>0</v>
      </c>
      <c r="AO17" s="1100"/>
      <c r="AP17" s="1122">
        <f t="shared" si="43"/>
        <v>0</v>
      </c>
      <c r="AQ17" s="1124">
        <f t="shared" si="44"/>
        <v>15</v>
      </c>
      <c r="AR17" s="1100"/>
      <c r="AS17" s="1122"/>
      <c r="AT17" s="1124">
        <f t="shared" si="45"/>
        <v>2</v>
      </c>
      <c r="AU17" s="1100"/>
      <c r="AV17" s="1122"/>
      <c r="AW17" s="1124">
        <f t="shared" si="46"/>
        <v>0</v>
      </c>
      <c r="AX17" s="1100"/>
      <c r="AY17" s="1122"/>
      <c r="AZ17" s="1124">
        <f t="shared" si="47"/>
        <v>3</v>
      </c>
      <c r="BA17" s="1100"/>
      <c r="BB17" s="1122"/>
      <c r="BC17" s="1136">
        <f t="shared" si="48"/>
        <v>0.2</v>
      </c>
      <c r="BD17" s="1130"/>
      <c r="BE17" s="1130"/>
      <c r="BF17" s="1124">
        <f t="shared" si="49"/>
        <v>0</v>
      </c>
      <c r="BG17" s="1100"/>
      <c r="BH17" s="1122"/>
      <c r="BI17" s="1124"/>
      <c r="BJ17" s="1100"/>
      <c r="BK17" s="1122"/>
      <c r="BL17" s="1124"/>
      <c r="BM17" s="1100"/>
      <c r="BN17" s="1122"/>
      <c r="BO17" s="1124"/>
      <c r="BP17" s="1100"/>
      <c r="BQ17" s="1122"/>
      <c r="BR17" s="1124"/>
      <c r="BS17" s="1100"/>
      <c r="BT17" s="1122"/>
      <c r="BU17" s="1124">
        <f t="shared" si="50"/>
        <v>0</v>
      </c>
      <c r="BV17" s="1100"/>
      <c r="BW17" s="1122"/>
      <c r="BX17" s="1126">
        <f t="shared" si="51"/>
        <v>0</v>
      </c>
      <c r="BY17" s="1108">
        <v>1</v>
      </c>
      <c r="BZ17" s="1122">
        <f t="shared" si="52"/>
        <v>0</v>
      </c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</row>
    <row r="18" spans="1:108" ht="15.75">
      <c r="A18" s="836">
        <v>7</v>
      </c>
      <c r="B18" s="859" t="s">
        <v>600</v>
      </c>
      <c r="C18" s="1117">
        <f>'проект числ-сть'!L17</f>
        <v>187</v>
      </c>
      <c r="D18" s="1121">
        <f t="shared" si="36"/>
        <v>19</v>
      </c>
      <c r="E18" s="1100"/>
      <c r="F18" s="1122"/>
      <c r="G18" s="1121">
        <f t="shared" si="18"/>
        <v>34</v>
      </c>
      <c r="H18" s="1100">
        <v>280</v>
      </c>
      <c r="I18" s="1122"/>
      <c r="J18" s="1124"/>
      <c r="K18" s="1100"/>
      <c r="L18" s="1122"/>
      <c r="M18" s="1124"/>
      <c r="N18" s="1100"/>
      <c r="O18" s="1122"/>
      <c r="P18" s="1124"/>
      <c r="Q18" s="1100"/>
      <c r="R18" s="1122"/>
      <c r="S18" s="1124"/>
      <c r="T18" s="1100">
        <v>1</v>
      </c>
      <c r="U18" s="1122"/>
      <c r="V18" s="1124"/>
      <c r="W18" s="1100"/>
      <c r="X18" s="1122"/>
      <c r="Y18" s="1124"/>
      <c r="Z18" s="1100"/>
      <c r="AA18" s="1122"/>
      <c r="AB18" s="1124"/>
      <c r="AC18" s="1100"/>
      <c r="AD18" s="1122"/>
      <c r="AE18" s="1124">
        <f t="shared" si="37"/>
        <v>0.1</v>
      </c>
      <c r="AF18" s="1100"/>
      <c r="AG18" s="1122">
        <f t="shared" si="38"/>
        <v>0.1</v>
      </c>
      <c r="AH18" s="1124">
        <f t="shared" si="39"/>
        <v>15</v>
      </c>
      <c r="AI18" s="1100">
        <v>128</v>
      </c>
      <c r="AJ18" s="1122">
        <f t="shared" si="40"/>
        <v>0</v>
      </c>
      <c r="AK18" s="1124">
        <f t="shared" si="41"/>
        <v>56</v>
      </c>
      <c r="AL18" s="1100">
        <v>60</v>
      </c>
      <c r="AM18" s="1122"/>
      <c r="AN18" s="1124">
        <f t="shared" si="42"/>
        <v>1</v>
      </c>
      <c r="AO18" s="1100" t="s">
        <v>890</v>
      </c>
      <c r="AP18" s="1122" t="s">
        <v>890</v>
      </c>
      <c r="AQ18" s="1124">
        <f t="shared" si="44"/>
        <v>56</v>
      </c>
      <c r="AR18" s="1100"/>
      <c r="AS18" s="1122"/>
      <c r="AT18" s="1124">
        <f t="shared" si="45"/>
        <v>7</v>
      </c>
      <c r="AU18" s="1100"/>
      <c r="AV18" s="1122"/>
      <c r="AW18" s="1124">
        <f t="shared" si="46"/>
        <v>1</v>
      </c>
      <c r="AX18" s="1100"/>
      <c r="AY18" s="1122"/>
      <c r="AZ18" s="1124">
        <f t="shared" si="47"/>
        <v>11</v>
      </c>
      <c r="BA18" s="1100"/>
      <c r="BB18" s="1122"/>
      <c r="BC18" s="1136">
        <f t="shared" si="48"/>
        <v>0.7</v>
      </c>
      <c r="BD18" s="1130"/>
      <c r="BE18" s="1130"/>
      <c r="BF18" s="1124">
        <f t="shared" si="49"/>
        <v>1</v>
      </c>
      <c r="BG18" s="1100"/>
      <c r="BH18" s="1122"/>
      <c r="BI18" s="1124"/>
      <c r="BJ18" s="1100"/>
      <c r="BK18" s="1122"/>
      <c r="BL18" s="1124"/>
      <c r="BM18" s="1100"/>
      <c r="BN18" s="1122"/>
      <c r="BO18" s="1124"/>
      <c r="BP18" s="1100"/>
      <c r="BQ18" s="1122"/>
      <c r="BR18" s="1124"/>
      <c r="BS18" s="1100"/>
      <c r="BT18" s="1122"/>
      <c r="BU18" s="1124">
        <f t="shared" si="50"/>
        <v>1</v>
      </c>
      <c r="BV18" s="1100"/>
      <c r="BW18" s="1122"/>
      <c r="BX18" s="1126">
        <f t="shared" si="51"/>
        <v>0</v>
      </c>
      <c r="BY18" s="1108">
        <v>2</v>
      </c>
      <c r="BZ18" s="1122">
        <f t="shared" si="52"/>
        <v>0</v>
      </c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</row>
    <row r="19" spans="1:108" s="98" customFormat="1" ht="15.75">
      <c r="A19" s="990"/>
      <c r="B19" s="991" t="s">
        <v>261</v>
      </c>
      <c r="C19" s="1116">
        <f>'проект числ-сть'!L18</f>
        <v>612</v>
      </c>
      <c r="D19" s="1119">
        <f>D20+D21</f>
        <v>62</v>
      </c>
      <c r="E19" s="992">
        <f t="shared" ref="E19:F19" si="112">E20+E21</f>
        <v>0</v>
      </c>
      <c r="F19" s="1120">
        <f t="shared" si="112"/>
        <v>40</v>
      </c>
      <c r="G19" s="1119">
        <f t="shared" ref="G19" si="113">G20+G21</f>
        <v>110</v>
      </c>
      <c r="H19" s="992">
        <f t="shared" ref="H19:I19" si="114">H20+H21</f>
        <v>160</v>
      </c>
      <c r="I19" s="1120">
        <f t="shared" si="114"/>
        <v>0</v>
      </c>
      <c r="J19" s="1119">
        <f t="shared" ref="J19" si="115">J20+J21</f>
        <v>0</v>
      </c>
      <c r="K19" s="992">
        <f t="shared" ref="K19:L19" si="116">K20+K21</f>
        <v>0</v>
      </c>
      <c r="L19" s="1120">
        <f t="shared" si="116"/>
        <v>0</v>
      </c>
      <c r="M19" s="1119">
        <f t="shared" ref="M19" si="117">M20+M21</f>
        <v>0</v>
      </c>
      <c r="N19" s="992">
        <f t="shared" ref="N19:R19" si="118">N20+N21</f>
        <v>0</v>
      </c>
      <c r="O19" s="1120">
        <f t="shared" si="118"/>
        <v>0</v>
      </c>
      <c r="P19" s="1119">
        <f t="shared" si="118"/>
        <v>0</v>
      </c>
      <c r="Q19" s="992">
        <f t="shared" si="118"/>
        <v>0</v>
      </c>
      <c r="R19" s="1120">
        <f t="shared" si="118"/>
        <v>0</v>
      </c>
      <c r="S19" s="1119">
        <f t="shared" ref="S19" si="119">S20+S21</f>
        <v>0</v>
      </c>
      <c r="T19" s="992">
        <f t="shared" ref="T19:U19" si="120">T20+T21</f>
        <v>2</v>
      </c>
      <c r="U19" s="1120">
        <f t="shared" si="120"/>
        <v>0</v>
      </c>
      <c r="V19" s="1119">
        <f t="shared" ref="V19" si="121">V20+V21</f>
        <v>0</v>
      </c>
      <c r="W19" s="992">
        <f t="shared" ref="W19:X19" si="122">W20+W21</f>
        <v>0</v>
      </c>
      <c r="X19" s="1120">
        <f t="shared" si="122"/>
        <v>0</v>
      </c>
      <c r="Y19" s="1119">
        <f t="shared" ref="Y19" si="123">Y20+Y21</f>
        <v>0</v>
      </c>
      <c r="Z19" s="992">
        <f t="shared" ref="Z19:AA19" si="124">Z20+Z21</f>
        <v>0</v>
      </c>
      <c r="AA19" s="1120">
        <f t="shared" si="124"/>
        <v>0</v>
      </c>
      <c r="AB19" s="1119">
        <f t="shared" ref="AB19" si="125">AB20+AB21</f>
        <v>0</v>
      </c>
      <c r="AC19" s="992">
        <f t="shared" ref="AC19:AE19" si="126">AC20+AC21</f>
        <v>0</v>
      </c>
      <c r="AD19" s="1120">
        <f t="shared" si="126"/>
        <v>1</v>
      </c>
      <c r="AE19" s="1119">
        <f t="shared" si="126"/>
        <v>0.4</v>
      </c>
      <c r="AF19" s="992" t="s">
        <v>890</v>
      </c>
      <c r="AG19" s="1120">
        <f t="shared" ref="AG19:BZ19" si="127">AG20+AG21</f>
        <v>0.4</v>
      </c>
      <c r="AH19" s="1119">
        <f t="shared" si="127"/>
        <v>49</v>
      </c>
      <c r="AI19" s="992">
        <f t="shared" si="127"/>
        <v>149</v>
      </c>
      <c r="AJ19" s="1120">
        <f t="shared" si="127"/>
        <v>11</v>
      </c>
      <c r="AK19" s="1119">
        <f t="shared" si="127"/>
        <v>184</v>
      </c>
      <c r="AL19" s="992">
        <f t="shared" si="127"/>
        <v>200</v>
      </c>
      <c r="AM19" s="1120">
        <f t="shared" si="127"/>
        <v>80</v>
      </c>
      <c r="AN19" s="1119">
        <f t="shared" si="127"/>
        <v>4</v>
      </c>
      <c r="AO19" s="992">
        <f t="shared" si="127"/>
        <v>33</v>
      </c>
      <c r="AP19" s="1120">
        <f t="shared" si="127"/>
        <v>0</v>
      </c>
      <c r="AQ19" s="1119">
        <f t="shared" si="127"/>
        <v>184</v>
      </c>
      <c r="AR19" s="992" t="s">
        <v>890</v>
      </c>
      <c r="AS19" s="1120">
        <f t="shared" si="127"/>
        <v>0</v>
      </c>
      <c r="AT19" s="1119">
        <f t="shared" si="127"/>
        <v>24</v>
      </c>
      <c r="AU19" s="992">
        <f t="shared" si="127"/>
        <v>0</v>
      </c>
      <c r="AV19" s="1120">
        <f t="shared" si="127"/>
        <v>20</v>
      </c>
      <c r="AW19" s="1119">
        <f t="shared" si="127"/>
        <v>4</v>
      </c>
      <c r="AX19" s="992">
        <f t="shared" si="127"/>
        <v>0</v>
      </c>
      <c r="AY19" s="1120">
        <f t="shared" si="127"/>
        <v>3</v>
      </c>
      <c r="AZ19" s="1119">
        <f t="shared" si="127"/>
        <v>37</v>
      </c>
      <c r="BA19" s="992">
        <f t="shared" si="127"/>
        <v>0</v>
      </c>
      <c r="BB19" s="1120">
        <f t="shared" si="127"/>
        <v>0</v>
      </c>
      <c r="BC19" s="1135">
        <f t="shared" si="127"/>
        <v>2.2000000000000002</v>
      </c>
      <c r="BD19" s="992">
        <f t="shared" si="127"/>
        <v>0</v>
      </c>
      <c r="BE19" s="992">
        <f t="shared" si="127"/>
        <v>0</v>
      </c>
      <c r="BF19" s="1119">
        <f t="shared" si="127"/>
        <v>4</v>
      </c>
      <c r="BG19" s="992">
        <f t="shared" si="127"/>
        <v>0</v>
      </c>
      <c r="BH19" s="1120">
        <f t="shared" si="127"/>
        <v>4</v>
      </c>
      <c r="BI19" s="1119">
        <f t="shared" si="127"/>
        <v>0</v>
      </c>
      <c r="BJ19" s="992">
        <f t="shared" si="127"/>
        <v>2</v>
      </c>
      <c r="BK19" s="1120">
        <f t="shared" si="127"/>
        <v>0</v>
      </c>
      <c r="BL19" s="1119">
        <f t="shared" si="127"/>
        <v>0</v>
      </c>
      <c r="BM19" s="992">
        <f t="shared" si="127"/>
        <v>1</v>
      </c>
      <c r="BN19" s="1120">
        <f t="shared" si="127"/>
        <v>0</v>
      </c>
      <c r="BO19" s="1119">
        <f t="shared" si="127"/>
        <v>0</v>
      </c>
      <c r="BP19" s="992">
        <f t="shared" si="127"/>
        <v>1</v>
      </c>
      <c r="BQ19" s="1120">
        <f t="shared" si="127"/>
        <v>0</v>
      </c>
      <c r="BR19" s="1119">
        <f t="shared" si="127"/>
        <v>0</v>
      </c>
      <c r="BS19" s="992">
        <f t="shared" si="127"/>
        <v>1</v>
      </c>
      <c r="BT19" s="1120">
        <f t="shared" si="127"/>
        <v>0</v>
      </c>
      <c r="BU19" s="1119">
        <f t="shared" si="127"/>
        <v>4</v>
      </c>
      <c r="BV19" s="992">
        <f t="shared" si="127"/>
        <v>0</v>
      </c>
      <c r="BW19" s="1120">
        <f t="shared" si="127"/>
        <v>3</v>
      </c>
      <c r="BX19" s="1125">
        <f t="shared" si="127"/>
        <v>0.1</v>
      </c>
      <c r="BY19" s="1107">
        <f t="shared" si="127"/>
        <v>5</v>
      </c>
      <c r="BZ19" s="1120">
        <f t="shared" si="127"/>
        <v>0</v>
      </c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576"/>
      <c r="CZ19" s="576"/>
      <c r="DA19" s="576"/>
      <c r="DB19" s="576"/>
      <c r="DC19" s="576"/>
      <c r="DD19" s="576"/>
    </row>
    <row r="20" spans="1:108" ht="15.75">
      <c r="A20" s="836">
        <v>8</v>
      </c>
      <c r="B20" s="859" t="s">
        <v>697</v>
      </c>
      <c r="C20" s="1117">
        <f>'проект числ-сть'!L19</f>
        <v>476</v>
      </c>
      <c r="D20" s="1121">
        <f t="shared" si="36"/>
        <v>48</v>
      </c>
      <c r="E20" s="1100"/>
      <c r="F20" s="1122">
        <v>40</v>
      </c>
      <c r="G20" s="1121">
        <f t="shared" si="18"/>
        <v>86</v>
      </c>
      <c r="H20" s="1100">
        <v>160</v>
      </c>
      <c r="I20" s="1122"/>
      <c r="J20" s="1124"/>
      <c r="K20" s="1100"/>
      <c r="L20" s="1122"/>
      <c r="M20" s="1124"/>
      <c r="N20" s="1100"/>
      <c r="O20" s="1122"/>
      <c r="P20" s="1124"/>
      <c r="Q20" s="1100"/>
      <c r="R20" s="1122"/>
      <c r="S20" s="1124"/>
      <c r="T20" s="1100">
        <v>1</v>
      </c>
      <c r="U20" s="1122"/>
      <c r="V20" s="1124"/>
      <c r="W20" s="1100"/>
      <c r="X20" s="1122"/>
      <c r="Y20" s="1124"/>
      <c r="Z20" s="1100"/>
      <c r="AA20" s="1122"/>
      <c r="AB20" s="1124"/>
      <c r="AC20" s="1100"/>
      <c r="AD20" s="1122"/>
      <c r="AE20" s="1124">
        <f t="shared" si="37"/>
        <v>0.3</v>
      </c>
      <c r="AF20" s="1100"/>
      <c r="AG20" s="1122">
        <f t="shared" si="38"/>
        <v>0.3</v>
      </c>
      <c r="AH20" s="1124">
        <f t="shared" si="39"/>
        <v>38</v>
      </c>
      <c r="AI20" s="1100">
        <v>149</v>
      </c>
      <c r="AJ20" s="1122">
        <f t="shared" si="40"/>
        <v>0</v>
      </c>
      <c r="AK20" s="1124">
        <f t="shared" si="41"/>
        <v>143</v>
      </c>
      <c r="AL20" s="1100">
        <v>50</v>
      </c>
      <c r="AM20" s="1122">
        <v>80</v>
      </c>
      <c r="AN20" s="1124">
        <f t="shared" si="42"/>
        <v>3</v>
      </c>
      <c r="AO20" s="1100">
        <v>18</v>
      </c>
      <c r="AP20" s="1122">
        <f t="shared" si="43"/>
        <v>0</v>
      </c>
      <c r="AQ20" s="1124">
        <f t="shared" si="44"/>
        <v>143</v>
      </c>
      <c r="AR20" s="1100"/>
      <c r="AS20" s="1122"/>
      <c r="AT20" s="1124">
        <f t="shared" si="45"/>
        <v>19</v>
      </c>
      <c r="AU20" s="1100"/>
      <c r="AV20" s="1122">
        <v>20</v>
      </c>
      <c r="AW20" s="1124">
        <f t="shared" si="46"/>
        <v>3</v>
      </c>
      <c r="AX20" s="1100"/>
      <c r="AY20" s="1122">
        <v>3</v>
      </c>
      <c r="AZ20" s="1124">
        <f t="shared" si="47"/>
        <v>29</v>
      </c>
      <c r="BA20" s="1100"/>
      <c r="BB20" s="1122"/>
      <c r="BC20" s="1136">
        <f t="shared" si="48"/>
        <v>1.7</v>
      </c>
      <c r="BD20" s="1130"/>
      <c r="BE20" s="1130"/>
      <c r="BF20" s="1124">
        <f t="shared" si="49"/>
        <v>3</v>
      </c>
      <c r="BG20" s="1100"/>
      <c r="BH20" s="1122">
        <v>4</v>
      </c>
      <c r="BI20" s="1124"/>
      <c r="BJ20" s="1100">
        <v>1</v>
      </c>
      <c r="BK20" s="1122"/>
      <c r="BL20" s="1124"/>
      <c r="BM20" s="1100">
        <v>1</v>
      </c>
      <c r="BN20" s="1122"/>
      <c r="BO20" s="1124"/>
      <c r="BP20" s="1100">
        <v>1</v>
      </c>
      <c r="BQ20" s="1122"/>
      <c r="BR20" s="1124"/>
      <c r="BS20" s="1100">
        <v>1</v>
      </c>
      <c r="BT20" s="1122"/>
      <c r="BU20" s="1124">
        <f t="shared" si="50"/>
        <v>3</v>
      </c>
      <c r="BV20" s="1100"/>
      <c r="BW20" s="1122">
        <v>3</v>
      </c>
      <c r="BX20" s="1126">
        <f t="shared" si="51"/>
        <v>0.1</v>
      </c>
      <c r="BY20" s="1108">
        <v>5</v>
      </c>
      <c r="BZ20" s="1122">
        <f t="shared" si="52"/>
        <v>0</v>
      </c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</row>
    <row r="21" spans="1:108" ht="15.75">
      <c r="A21" s="836">
        <v>9</v>
      </c>
      <c r="B21" s="859" t="s">
        <v>698</v>
      </c>
      <c r="C21" s="1117">
        <f>'проект числ-сть'!L20</f>
        <v>136</v>
      </c>
      <c r="D21" s="1121">
        <f t="shared" si="36"/>
        <v>14</v>
      </c>
      <c r="E21" s="1100"/>
      <c r="F21" s="1122"/>
      <c r="G21" s="1121">
        <f t="shared" si="18"/>
        <v>24</v>
      </c>
      <c r="H21" s="1100"/>
      <c r="I21" s="1122"/>
      <c r="J21" s="1124"/>
      <c r="K21" s="1100"/>
      <c r="L21" s="1122"/>
      <c r="M21" s="1124"/>
      <c r="N21" s="1100"/>
      <c r="O21" s="1122"/>
      <c r="P21" s="1124"/>
      <c r="Q21" s="1100"/>
      <c r="R21" s="1122"/>
      <c r="S21" s="1124"/>
      <c r="T21" s="1100">
        <v>1</v>
      </c>
      <c r="U21" s="1122"/>
      <c r="V21" s="1124"/>
      <c r="W21" s="1100"/>
      <c r="X21" s="1122"/>
      <c r="Y21" s="1124"/>
      <c r="Z21" s="1100"/>
      <c r="AA21" s="1122"/>
      <c r="AB21" s="1124"/>
      <c r="AC21" s="1100"/>
      <c r="AD21" s="1122">
        <v>1</v>
      </c>
      <c r="AE21" s="1124">
        <f t="shared" si="37"/>
        <v>0.1</v>
      </c>
      <c r="AF21" s="1100"/>
      <c r="AG21" s="1122">
        <f t="shared" si="38"/>
        <v>0.1</v>
      </c>
      <c r="AH21" s="1124">
        <f t="shared" si="39"/>
        <v>11</v>
      </c>
      <c r="AI21" s="1100"/>
      <c r="AJ21" s="1122">
        <f t="shared" si="40"/>
        <v>11</v>
      </c>
      <c r="AK21" s="1124">
        <f t="shared" si="41"/>
        <v>41</v>
      </c>
      <c r="AL21" s="1100">
        <v>150</v>
      </c>
      <c r="AM21" s="1122"/>
      <c r="AN21" s="1124">
        <f t="shared" si="42"/>
        <v>1</v>
      </c>
      <c r="AO21" s="1100">
        <v>15</v>
      </c>
      <c r="AP21" s="1122">
        <f t="shared" si="43"/>
        <v>0</v>
      </c>
      <c r="AQ21" s="1124">
        <f t="shared" si="44"/>
        <v>41</v>
      </c>
      <c r="AR21" s="1100"/>
      <c r="AS21" s="1122"/>
      <c r="AT21" s="1124">
        <f t="shared" si="45"/>
        <v>5</v>
      </c>
      <c r="AU21" s="1100"/>
      <c r="AV21" s="1122"/>
      <c r="AW21" s="1124">
        <f t="shared" si="46"/>
        <v>1</v>
      </c>
      <c r="AX21" s="1100"/>
      <c r="AY21" s="1122"/>
      <c r="AZ21" s="1124">
        <f t="shared" si="47"/>
        <v>8</v>
      </c>
      <c r="BA21" s="1100"/>
      <c r="BB21" s="1122"/>
      <c r="BC21" s="1136">
        <f t="shared" si="48"/>
        <v>0.5</v>
      </c>
      <c r="BD21" s="1130"/>
      <c r="BE21" s="1130"/>
      <c r="BF21" s="1124">
        <f t="shared" si="49"/>
        <v>1</v>
      </c>
      <c r="BG21" s="1100"/>
      <c r="BH21" s="1122"/>
      <c r="BI21" s="1124"/>
      <c r="BJ21" s="1100">
        <v>1</v>
      </c>
      <c r="BK21" s="1122"/>
      <c r="BL21" s="1124"/>
      <c r="BM21" s="1100"/>
      <c r="BN21" s="1122"/>
      <c r="BO21" s="1124"/>
      <c r="BP21" s="1100"/>
      <c r="BQ21" s="1122"/>
      <c r="BR21" s="1124"/>
      <c r="BS21" s="1100"/>
      <c r="BT21" s="1122"/>
      <c r="BU21" s="1124">
        <f t="shared" si="50"/>
        <v>1</v>
      </c>
      <c r="BV21" s="1100"/>
      <c r="BW21" s="1122"/>
      <c r="BX21" s="1126">
        <f t="shared" si="51"/>
        <v>0</v>
      </c>
      <c r="BY21" s="1108"/>
      <c r="BZ21" s="1122">
        <f t="shared" si="52"/>
        <v>0</v>
      </c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</row>
    <row r="22" spans="1:108" s="98" customFormat="1" ht="15.75">
      <c r="A22" s="990"/>
      <c r="B22" s="991" t="s">
        <v>264</v>
      </c>
      <c r="C22" s="1116">
        <f>'проект числ-сть'!L21</f>
        <v>329</v>
      </c>
      <c r="D22" s="1119">
        <f>D23+D24</f>
        <v>33</v>
      </c>
      <c r="E22" s="992">
        <f t="shared" ref="E22:F22" si="128">E23+E24</f>
        <v>0</v>
      </c>
      <c r="F22" s="1120">
        <f t="shared" si="128"/>
        <v>15</v>
      </c>
      <c r="G22" s="1123">
        <f t="shared" ref="G22" si="129">G23+G24</f>
        <v>59</v>
      </c>
      <c r="H22" s="992">
        <f t="shared" ref="H22:I22" si="130">H23+H24</f>
        <v>192</v>
      </c>
      <c r="I22" s="1120">
        <f t="shared" si="130"/>
        <v>0</v>
      </c>
      <c r="J22" s="1119">
        <f t="shared" ref="J22" si="131">J23+J24</f>
        <v>0</v>
      </c>
      <c r="K22" s="992">
        <f t="shared" ref="K22:L22" si="132">K23+K24</f>
        <v>0</v>
      </c>
      <c r="L22" s="1120">
        <f t="shared" si="132"/>
        <v>0</v>
      </c>
      <c r="M22" s="1119">
        <f t="shared" ref="M22" si="133">M23+M24</f>
        <v>0</v>
      </c>
      <c r="N22" s="992">
        <f t="shared" ref="N22:R22" si="134">N23+N24</f>
        <v>0</v>
      </c>
      <c r="O22" s="1120">
        <f t="shared" si="134"/>
        <v>0</v>
      </c>
      <c r="P22" s="1119">
        <f t="shared" si="134"/>
        <v>0</v>
      </c>
      <c r="Q22" s="992">
        <f t="shared" si="134"/>
        <v>0</v>
      </c>
      <c r="R22" s="1120">
        <f t="shared" si="134"/>
        <v>0</v>
      </c>
      <c r="S22" s="1119">
        <f t="shared" ref="S22" si="135">S23+S24</f>
        <v>0</v>
      </c>
      <c r="T22" s="992">
        <f t="shared" ref="T22:U22" si="136">T23+T24</f>
        <v>1</v>
      </c>
      <c r="U22" s="1120">
        <f t="shared" si="136"/>
        <v>0</v>
      </c>
      <c r="V22" s="1119">
        <f t="shared" ref="V22" si="137">V23+V24</f>
        <v>0</v>
      </c>
      <c r="W22" s="992">
        <f t="shared" ref="W22:X22" si="138">W23+W24</f>
        <v>0</v>
      </c>
      <c r="X22" s="1120">
        <f t="shared" si="138"/>
        <v>0</v>
      </c>
      <c r="Y22" s="1119">
        <f t="shared" ref="Y22" si="139">Y23+Y24</f>
        <v>0</v>
      </c>
      <c r="Z22" s="992">
        <f t="shared" ref="Z22:AA22" si="140">Z23+Z24</f>
        <v>0</v>
      </c>
      <c r="AA22" s="1120">
        <f t="shared" si="140"/>
        <v>0</v>
      </c>
      <c r="AB22" s="1119">
        <f t="shared" ref="AB22" si="141">AB23+AB24</f>
        <v>0</v>
      </c>
      <c r="AC22" s="992">
        <f t="shared" ref="AC22:AD22" si="142">AC23+AC24</f>
        <v>0</v>
      </c>
      <c r="AD22" s="1120">
        <f t="shared" si="142"/>
        <v>2</v>
      </c>
      <c r="AE22" s="1119">
        <f t="shared" ref="AE22" si="143">AE23+AE24</f>
        <v>0.30000000000000004</v>
      </c>
      <c r="AF22" s="992" t="s">
        <v>890</v>
      </c>
      <c r="AG22" s="1120">
        <f t="shared" ref="AG22" si="144">AG23+AG24</f>
        <v>0.30000000000000004</v>
      </c>
      <c r="AH22" s="1119">
        <f t="shared" ref="AH22:BX22" si="145">AH23+AH24</f>
        <v>26</v>
      </c>
      <c r="AI22" s="992">
        <f t="shared" si="145"/>
        <v>162</v>
      </c>
      <c r="AJ22" s="1120">
        <f t="shared" si="145"/>
        <v>6</v>
      </c>
      <c r="AK22" s="1119">
        <f t="shared" si="145"/>
        <v>99</v>
      </c>
      <c r="AL22" s="992">
        <f t="shared" si="145"/>
        <v>60</v>
      </c>
      <c r="AM22" s="1120">
        <f t="shared" si="145"/>
        <v>0</v>
      </c>
      <c r="AN22" s="1119">
        <f t="shared" si="145"/>
        <v>2</v>
      </c>
      <c r="AO22" s="992" t="s">
        <v>890</v>
      </c>
      <c r="AP22" s="1120" t="s">
        <v>890</v>
      </c>
      <c r="AQ22" s="1119">
        <f t="shared" si="145"/>
        <v>99</v>
      </c>
      <c r="AR22" s="992" t="s">
        <v>890</v>
      </c>
      <c r="AS22" s="1120">
        <f t="shared" si="145"/>
        <v>0</v>
      </c>
      <c r="AT22" s="1119">
        <f t="shared" si="145"/>
        <v>13</v>
      </c>
      <c r="AU22" s="992">
        <f t="shared" si="145"/>
        <v>0</v>
      </c>
      <c r="AV22" s="1120">
        <f t="shared" si="145"/>
        <v>10</v>
      </c>
      <c r="AW22" s="1119">
        <f t="shared" si="145"/>
        <v>3</v>
      </c>
      <c r="AX22" s="992">
        <f t="shared" si="145"/>
        <v>0</v>
      </c>
      <c r="AY22" s="1120">
        <f t="shared" si="145"/>
        <v>2</v>
      </c>
      <c r="AZ22" s="1119">
        <f t="shared" si="145"/>
        <v>20</v>
      </c>
      <c r="BA22" s="992">
        <f t="shared" si="145"/>
        <v>0</v>
      </c>
      <c r="BB22" s="1120">
        <f t="shared" si="145"/>
        <v>0</v>
      </c>
      <c r="BC22" s="1135">
        <f t="shared" si="145"/>
        <v>1.2</v>
      </c>
      <c r="BD22" s="992">
        <f t="shared" si="145"/>
        <v>0</v>
      </c>
      <c r="BE22" s="992">
        <f t="shared" si="145"/>
        <v>0</v>
      </c>
      <c r="BF22" s="1119">
        <f t="shared" si="145"/>
        <v>3</v>
      </c>
      <c r="BG22" s="992">
        <f t="shared" si="145"/>
        <v>0</v>
      </c>
      <c r="BH22" s="1120">
        <f t="shared" si="145"/>
        <v>3</v>
      </c>
      <c r="BI22" s="1119">
        <f t="shared" si="145"/>
        <v>0</v>
      </c>
      <c r="BJ22" s="992">
        <f t="shared" si="145"/>
        <v>1</v>
      </c>
      <c r="BK22" s="1120">
        <f t="shared" si="145"/>
        <v>0</v>
      </c>
      <c r="BL22" s="1119">
        <f t="shared" si="145"/>
        <v>0</v>
      </c>
      <c r="BM22" s="992">
        <f t="shared" si="145"/>
        <v>0</v>
      </c>
      <c r="BN22" s="1120">
        <f t="shared" si="145"/>
        <v>0</v>
      </c>
      <c r="BO22" s="1119">
        <f t="shared" si="145"/>
        <v>0</v>
      </c>
      <c r="BP22" s="992">
        <f t="shared" si="145"/>
        <v>1</v>
      </c>
      <c r="BQ22" s="1120">
        <f t="shared" si="145"/>
        <v>0</v>
      </c>
      <c r="BR22" s="1119">
        <f t="shared" si="145"/>
        <v>0</v>
      </c>
      <c r="BS22" s="992">
        <f t="shared" si="145"/>
        <v>1</v>
      </c>
      <c r="BT22" s="1120">
        <f t="shared" si="145"/>
        <v>0</v>
      </c>
      <c r="BU22" s="1119">
        <f t="shared" si="145"/>
        <v>2</v>
      </c>
      <c r="BV22" s="992">
        <f t="shared" si="145"/>
        <v>0</v>
      </c>
      <c r="BW22" s="1120">
        <f t="shared" si="145"/>
        <v>2</v>
      </c>
      <c r="BX22" s="1125">
        <f t="shared" si="145"/>
        <v>0.1</v>
      </c>
      <c r="BY22" s="1107" t="s">
        <v>890</v>
      </c>
      <c r="BZ22" s="1120">
        <v>0</v>
      </c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576"/>
      <c r="CZ22" s="576"/>
      <c r="DA22" s="576"/>
      <c r="DB22" s="576"/>
      <c r="DC22" s="576"/>
      <c r="DD22" s="576"/>
    </row>
    <row r="23" spans="1:108" ht="15.75">
      <c r="A23" s="836">
        <v>10</v>
      </c>
      <c r="B23" s="859" t="s">
        <v>619</v>
      </c>
      <c r="C23" s="1117">
        <f>'проект числ-сть'!L22</f>
        <v>252</v>
      </c>
      <c r="D23" s="1121">
        <f t="shared" si="36"/>
        <v>25</v>
      </c>
      <c r="E23" s="1100"/>
      <c r="F23" s="1122">
        <v>15</v>
      </c>
      <c r="G23" s="1121">
        <f t="shared" si="18"/>
        <v>45</v>
      </c>
      <c r="H23" s="1100">
        <v>192</v>
      </c>
      <c r="I23" s="1122"/>
      <c r="J23" s="1124"/>
      <c r="K23" s="1100"/>
      <c r="L23" s="1122"/>
      <c r="M23" s="1124"/>
      <c r="N23" s="1100"/>
      <c r="O23" s="1122"/>
      <c r="P23" s="1124"/>
      <c r="Q23" s="1100"/>
      <c r="R23" s="1122"/>
      <c r="S23" s="1124"/>
      <c r="T23" s="1100">
        <v>1</v>
      </c>
      <c r="U23" s="1122"/>
      <c r="V23" s="1124"/>
      <c r="W23" s="1100"/>
      <c r="X23" s="1122"/>
      <c r="Y23" s="1124"/>
      <c r="Z23" s="1100"/>
      <c r="AA23" s="1122"/>
      <c r="AB23" s="1124"/>
      <c r="AC23" s="1100"/>
      <c r="AD23" s="1122">
        <v>1</v>
      </c>
      <c r="AE23" s="1124">
        <f t="shared" si="37"/>
        <v>0.2</v>
      </c>
      <c r="AF23" s="1100"/>
      <c r="AG23" s="1122">
        <f t="shared" si="38"/>
        <v>0.2</v>
      </c>
      <c r="AH23" s="1124">
        <f t="shared" si="39"/>
        <v>20</v>
      </c>
      <c r="AI23" s="1100">
        <v>162</v>
      </c>
      <c r="AJ23" s="1122">
        <f t="shared" si="40"/>
        <v>0</v>
      </c>
      <c r="AK23" s="1124">
        <f t="shared" si="41"/>
        <v>76</v>
      </c>
      <c r="AL23" s="1100">
        <v>60</v>
      </c>
      <c r="AM23" s="1122"/>
      <c r="AN23" s="1124">
        <f t="shared" si="42"/>
        <v>2</v>
      </c>
      <c r="AO23" s="1100" t="s">
        <v>890</v>
      </c>
      <c r="AP23" s="1122" t="s">
        <v>890</v>
      </c>
      <c r="AQ23" s="1124">
        <f t="shared" si="44"/>
        <v>76</v>
      </c>
      <c r="AR23" s="1100"/>
      <c r="AS23" s="1122"/>
      <c r="AT23" s="1124">
        <f t="shared" si="45"/>
        <v>10</v>
      </c>
      <c r="AU23" s="1100"/>
      <c r="AV23" s="1122">
        <v>10</v>
      </c>
      <c r="AW23" s="1124">
        <f t="shared" si="46"/>
        <v>2</v>
      </c>
      <c r="AX23" s="1100"/>
      <c r="AY23" s="1122">
        <v>2</v>
      </c>
      <c r="AZ23" s="1124">
        <f t="shared" si="47"/>
        <v>15</v>
      </c>
      <c r="BA23" s="1100"/>
      <c r="BB23" s="1122"/>
      <c r="BC23" s="1136">
        <f t="shared" si="48"/>
        <v>0.9</v>
      </c>
      <c r="BD23" s="1130"/>
      <c r="BE23" s="1130"/>
      <c r="BF23" s="1124">
        <f t="shared" si="49"/>
        <v>2</v>
      </c>
      <c r="BG23" s="1100"/>
      <c r="BH23" s="1122">
        <v>3</v>
      </c>
      <c r="BI23" s="1124"/>
      <c r="BJ23" s="1100">
        <v>1</v>
      </c>
      <c r="BK23" s="1122"/>
      <c r="BL23" s="1124"/>
      <c r="BM23" s="1100"/>
      <c r="BN23" s="1122"/>
      <c r="BO23" s="1124"/>
      <c r="BP23" s="1100">
        <v>1</v>
      </c>
      <c r="BQ23" s="1122"/>
      <c r="BR23" s="1124"/>
      <c r="BS23" s="1100">
        <v>1</v>
      </c>
      <c r="BT23" s="1122"/>
      <c r="BU23" s="1124">
        <f t="shared" si="50"/>
        <v>2</v>
      </c>
      <c r="BV23" s="1100"/>
      <c r="BW23" s="1122">
        <v>2</v>
      </c>
      <c r="BX23" s="1126">
        <f t="shared" si="51"/>
        <v>0.1</v>
      </c>
      <c r="BY23" s="1108" t="s">
        <v>890</v>
      </c>
      <c r="BZ23" s="1122">
        <v>0</v>
      </c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</row>
    <row r="24" spans="1:108" ht="15.75">
      <c r="A24" s="836">
        <v>11</v>
      </c>
      <c r="B24" s="859" t="s">
        <v>699</v>
      </c>
      <c r="C24" s="1117">
        <f>'проект числ-сть'!L23</f>
        <v>77</v>
      </c>
      <c r="D24" s="1121">
        <f t="shared" si="36"/>
        <v>8</v>
      </c>
      <c r="E24" s="1100"/>
      <c r="F24" s="1122"/>
      <c r="G24" s="1121">
        <f t="shared" si="18"/>
        <v>14</v>
      </c>
      <c r="H24" s="1100"/>
      <c r="I24" s="1122"/>
      <c r="J24" s="1124"/>
      <c r="K24" s="1100"/>
      <c r="L24" s="1122"/>
      <c r="M24" s="1124"/>
      <c r="N24" s="1100"/>
      <c r="O24" s="1122"/>
      <c r="P24" s="1124"/>
      <c r="Q24" s="1100"/>
      <c r="R24" s="1122"/>
      <c r="S24" s="1124"/>
      <c r="T24" s="1100"/>
      <c r="U24" s="1122"/>
      <c r="V24" s="1124"/>
      <c r="W24" s="1100"/>
      <c r="X24" s="1122"/>
      <c r="Y24" s="1124"/>
      <c r="Z24" s="1100"/>
      <c r="AA24" s="1122"/>
      <c r="AB24" s="1124"/>
      <c r="AC24" s="1100"/>
      <c r="AD24" s="1122">
        <v>1</v>
      </c>
      <c r="AE24" s="1124">
        <f t="shared" si="37"/>
        <v>0.1</v>
      </c>
      <c r="AF24" s="1100"/>
      <c r="AG24" s="1122">
        <f t="shared" si="38"/>
        <v>0.1</v>
      </c>
      <c r="AH24" s="1124">
        <f t="shared" si="39"/>
        <v>6</v>
      </c>
      <c r="AI24" s="1100"/>
      <c r="AJ24" s="1122">
        <f t="shared" si="40"/>
        <v>6</v>
      </c>
      <c r="AK24" s="1124">
        <f t="shared" si="41"/>
        <v>23</v>
      </c>
      <c r="AL24" s="1100">
        <v>0</v>
      </c>
      <c r="AM24" s="1122"/>
      <c r="AN24" s="1124">
        <f t="shared" si="42"/>
        <v>0</v>
      </c>
      <c r="AO24" s="1100" t="s">
        <v>890</v>
      </c>
      <c r="AP24" s="1122" t="s">
        <v>890</v>
      </c>
      <c r="AQ24" s="1124">
        <f t="shared" si="44"/>
        <v>23</v>
      </c>
      <c r="AR24" s="1100"/>
      <c r="AS24" s="1122"/>
      <c r="AT24" s="1124">
        <f t="shared" si="45"/>
        <v>3</v>
      </c>
      <c r="AU24" s="1100"/>
      <c r="AV24" s="1122"/>
      <c r="AW24" s="1124">
        <f t="shared" si="46"/>
        <v>1</v>
      </c>
      <c r="AX24" s="1100"/>
      <c r="AY24" s="1122"/>
      <c r="AZ24" s="1124">
        <f t="shared" si="47"/>
        <v>5</v>
      </c>
      <c r="BA24" s="1100"/>
      <c r="BB24" s="1122"/>
      <c r="BC24" s="1136">
        <f t="shared" si="48"/>
        <v>0.3</v>
      </c>
      <c r="BD24" s="1130"/>
      <c r="BE24" s="1130"/>
      <c r="BF24" s="1124">
        <f t="shared" si="49"/>
        <v>1</v>
      </c>
      <c r="BG24" s="1100"/>
      <c r="BH24" s="1122"/>
      <c r="BI24" s="1124"/>
      <c r="BJ24" s="1100"/>
      <c r="BK24" s="1122"/>
      <c r="BL24" s="1124"/>
      <c r="BM24" s="1100"/>
      <c r="BN24" s="1122"/>
      <c r="BO24" s="1124"/>
      <c r="BP24" s="1100"/>
      <c r="BQ24" s="1122"/>
      <c r="BR24" s="1124"/>
      <c r="BS24" s="1100"/>
      <c r="BT24" s="1122"/>
      <c r="BU24" s="1124">
        <f t="shared" si="50"/>
        <v>0</v>
      </c>
      <c r="BV24" s="1100"/>
      <c r="BW24" s="1122"/>
      <c r="BX24" s="1126">
        <f t="shared" si="51"/>
        <v>0</v>
      </c>
      <c r="BY24" s="1108" t="s">
        <v>890</v>
      </c>
      <c r="BZ24" s="1122">
        <v>0</v>
      </c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</row>
    <row r="25" spans="1:108" s="98" customFormat="1" ht="15.75">
      <c r="A25" s="990"/>
      <c r="B25" s="991" t="s">
        <v>267</v>
      </c>
      <c r="C25" s="1116">
        <f>'проект числ-сть'!L24</f>
        <v>453</v>
      </c>
      <c r="D25" s="1119">
        <f>D26+D27+D28</f>
        <v>46</v>
      </c>
      <c r="E25" s="992">
        <f t="shared" ref="E25" si="146">E26+E27+E28</f>
        <v>0</v>
      </c>
      <c r="F25" s="1120">
        <f>F26+F27+F28</f>
        <v>30</v>
      </c>
      <c r="G25" s="1119">
        <f t="shared" ref="G25" si="147">G26+G27+G28</f>
        <v>81</v>
      </c>
      <c r="H25" s="992">
        <f t="shared" ref="H25:I25" si="148">H26+H27+H28</f>
        <v>192</v>
      </c>
      <c r="I25" s="1120">
        <f t="shared" si="148"/>
        <v>0</v>
      </c>
      <c r="J25" s="1119">
        <f t="shared" ref="J25" si="149">J26+J27+J28</f>
        <v>0</v>
      </c>
      <c r="K25" s="992">
        <f t="shared" ref="K25:L25" si="150">K26+K27+K28</f>
        <v>0</v>
      </c>
      <c r="L25" s="1120">
        <f t="shared" si="150"/>
        <v>0</v>
      </c>
      <c r="M25" s="1119">
        <f t="shared" ref="M25" si="151">M26+M27+M28</f>
        <v>0</v>
      </c>
      <c r="N25" s="992">
        <f t="shared" ref="N25:R25" si="152">N26+N27+N28</f>
        <v>0</v>
      </c>
      <c r="O25" s="1120">
        <f t="shared" si="152"/>
        <v>0</v>
      </c>
      <c r="P25" s="1119">
        <f t="shared" si="152"/>
        <v>0</v>
      </c>
      <c r="Q25" s="992">
        <f t="shared" si="152"/>
        <v>0</v>
      </c>
      <c r="R25" s="1120">
        <f t="shared" si="152"/>
        <v>0</v>
      </c>
      <c r="S25" s="1119">
        <f t="shared" ref="S25" si="153">S26+S27+S28</f>
        <v>0</v>
      </c>
      <c r="T25" s="992">
        <f t="shared" ref="T25:U25" si="154">T26+T27+T28</f>
        <v>1</v>
      </c>
      <c r="U25" s="1120">
        <f t="shared" si="154"/>
        <v>0</v>
      </c>
      <c r="V25" s="1119">
        <f t="shared" ref="V25" si="155">V26+V27+V28</f>
        <v>0</v>
      </c>
      <c r="W25" s="992">
        <f t="shared" ref="W25:X25" si="156">W26+W27+W28</f>
        <v>0</v>
      </c>
      <c r="X25" s="1120">
        <f t="shared" si="156"/>
        <v>0</v>
      </c>
      <c r="Y25" s="1119">
        <f t="shared" ref="Y25" si="157">Y26+Y27+Y28</f>
        <v>0</v>
      </c>
      <c r="Z25" s="992">
        <f t="shared" ref="Z25:AA25" si="158">Z26+Z27+Z28</f>
        <v>0</v>
      </c>
      <c r="AA25" s="1120">
        <f t="shared" si="158"/>
        <v>0</v>
      </c>
      <c r="AB25" s="1119">
        <f t="shared" ref="AB25" si="159">AB26+AB27+AB28</f>
        <v>0</v>
      </c>
      <c r="AC25" s="992">
        <f t="shared" ref="AC25:AD25" si="160">AC26+AC27+AC28</f>
        <v>0</v>
      </c>
      <c r="AD25" s="1120">
        <f t="shared" si="160"/>
        <v>1</v>
      </c>
      <c r="AE25" s="1119">
        <f t="shared" ref="AE25" si="161">AE26+AE27+AE28</f>
        <v>0.2</v>
      </c>
      <c r="AF25" s="992" t="s">
        <v>890</v>
      </c>
      <c r="AG25" s="1120">
        <f t="shared" ref="AG25:BZ25" si="162">AG26+AG27+AG28</f>
        <v>0.2</v>
      </c>
      <c r="AH25" s="1119">
        <f t="shared" si="162"/>
        <v>36</v>
      </c>
      <c r="AI25" s="992">
        <f t="shared" si="162"/>
        <v>157.5</v>
      </c>
      <c r="AJ25" s="1120">
        <f t="shared" si="162"/>
        <v>9</v>
      </c>
      <c r="AK25" s="1119">
        <f t="shared" si="162"/>
        <v>136</v>
      </c>
      <c r="AL25" s="992">
        <f t="shared" si="162"/>
        <v>100</v>
      </c>
      <c r="AM25" s="1120">
        <f t="shared" si="162"/>
        <v>0</v>
      </c>
      <c r="AN25" s="1119">
        <f t="shared" si="162"/>
        <v>2</v>
      </c>
      <c r="AO25" s="992">
        <f t="shared" si="162"/>
        <v>0</v>
      </c>
      <c r="AP25" s="1120">
        <f t="shared" si="162"/>
        <v>2</v>
      </c>
      <c r="AQ25" s="1119">
        <f t="shared" si="162"/>
        <v>136</v>
      </c>
      <c r="AR25" s="992" t="s">
        <v>890</v>
      </c>
      <c r="AS25" s="1120">
        <f t="shared" si="162"/>
        <v>0</v>
      </c>
      <c r="AT25" s="1119">
        <f t="shared" si="162"/>
        <v>19</v>
      </c>
      <c r="AU25" s="992">
        <f t="shared" si="162"/>
        <v>0</v>
      </c>
      <c r="AV25" s="1120">
        <f t="shared" si="162"/>
        <v>15</v>
      </c>
      <c r="AW25" s="1119">
        <f t="shared" si="162"/>
        <v>2</v>
      </c>
      <c r="AX25" s="992">
        <f t="shared" si="162"/>
        <v>0</v>
      </c>
      <c r="AY25" s="1120">
        <f t="shared" si="162"/>
        <v>2</v>
      </c>
      <c r="AZ25" s="1119">
        <f t="shared" si="162"/>
        <v>27</v>
      </c>
      <c r="BA25" s="992">
        <f t="shared" si="162"/>
        <v>0</v>
      </c>
      <c r="BB25" s="1120">
        <f t="shared" si="162"/>
        <v>0</v>
      </c>
      <c r="BC25" s="1135">
        <f t="shared" si="162"/>
        <v>1.5999999999999999</v>
      </c>
      <c r="BD25" s="992">
        <f t="shared" si="162"/>
        <v>0</v>
      </c>
      <c r="BE25" s="992">
        <f t="shared" si="162"/>
        <v>0</v>
      </c>
      <c r="BF25" s="1119">
        <f t="shared" si="162"/>
        <v>2</v>
      </c>
      <c r="BG25" s="992">
        <f t="shared" si="162"/>
        <v>0</v>
      </c>
      <c r="BH25" s="1120">
        <f t="shared" si="162"/>
        <v>2</v>
      </c>
      <c r="BI25" s="1119">
        <f t="shared" si="162"/>
        <v>0</v>
      </c>
      <c r="BJ25" s="992">
        <f t="shared" si="162"/>
        <v>1</v>
      </c>
      <c r="BK25" s="1120">
        <f t="shared" si="162"/>
        <v>0</v>
      </c>
      <c r="BL25" s="1119">
        <f t="shared" si="162"/>
        <v>0</v>
      </c>
      <c r="BM25" s="992">
        <f t="shared" si="162"/>
        <v>0</v>
      </c>
      <c r="BN25" s="1120">
        <f t="shared" si="162"/>
        <v>1</v>
      </c>
      <c r="BO25" s="1119">
        <f t="shared" si="162"/>
        <v>0</v>
      </c>
      <c r="BP25" s="992">
        <f t="shared" si="162"/>
        <v>0</v>
      </c>
      <c r="BQ25" s="1120">
        <f t="shared" si="162"/>
        <v>0</v>
      </c>
      <c r="BR25" s="1119">
        <f t="shared" si="162"/>
        <v>0</v>
      </c>
      <c r="BS25" s="992">
        <f t="shared" si="162"/>
        <v>1</v>
      </c>
      <c r="BT25" s="1120">
        <f t="shared" si="162"/>
        <v>0</v>
      </c>
      <c r="BU25" s="1119">
        <f t="shared" si="162"/>
        <v>2</v>
      </c>
      <c r="BV25" s="992">
        <f t="shared" si="162"/>
        <v>0</v>
      </c>
      <c r="BW25" s="1120">
        <f t="shared" si="162"/>
        <v>2</v>
      </c>
      <c r="BX25" s="1125">
        <f t="shared" si="162"/>
        <v>0.1</v>
      </c>
      <c r="BY25" s="1107">
        <f t="shared" si="162"/>
        <v>4</v>
      </c>
      <c r="BZ25" s="1120">
        <f t="shared" si="162"/>
        <v>0</v>
      </c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576"/>
      <c r="CZ25" s="576"/>
      <c r="DA25" s="576"/>
      <c r="DB25" s="576"/>
      <c r="DC25" s="576"/>
      <c r="DD25" s="576"/>
    </row>
    <row r="26" spans="1:108" ht="15.75">
      <c r="A26" s="836">
        <v>12</v>
      </c>
      <c r="B26" s="859" t="s">
        <v>700</v>
      </c>
      <c r="C26" s="1117">
        <f>'проект числ-сть'!L25</f>
        <v>341</v>
      </c>
      <c r="D26" s="1121">
        <f t="shared" si="36"/>
        <v>34</v>
      </c>
      <c r="E26" s="1100"/>
      <c r="F26" s="1122">
        <v>30</v>
      </c>
      <c r="G26" s="1121">
        <f t="shared" si="18"/>
        <v>61</v>
      </c>
      <c r="H26" s="1100">
        <v>192</v>
      </c>
      <c r="I26" s="1122"/>
      <c r="J26" s="1124"/>
      <c r="K26" s="1100"/>
      <c r="L26" s="1122"/>
      <c r="M26" s="1124"/>
      <c r="N26" s="1100"/>
      <c r="O26" s="1122"/>
      <c r="P26" s="1124"/>
      <c r="Q26" s="1100"/>
      <c r="R26" s="1122"/>
      <c r="S26" s="1124"/>
      <c r="T26" s="1100">
        <v>1</v>
      </c>
      <c r="U26" s="1122"/>
      <c r="V26" s="1124"/>
      <c r="W26" s="1100"/>
      <c r="X26" s="1122"/>
      <c r="Y26" s="1124"/>
      <c r="Z26" s="1100"/>
      <c r="AA26" s="1122"/>
      <c r="AB26" s="1124"/>
      <c r="AC26" s="1100"/>
      <c r="AD26" s="1122">
        <v>1</v>
      </c>
      <c r="AE26" s="1124">
        <f t="shared" si="37"/>
        <v>0.2</v>
      </c>
      <c r="AF26" s="1100"/>
      <c r="AG26" s="1122">
        <f t="shared" si="38"/>
        <v>0.2</v>
      </c>
      <c r="AH26" s="1124">
        <f t="shared" si="39"/>
        <v>27</v>
      </c>
      <c r="AI26" s="1100">
        <v>157.5</v>
      </c>
      <c r="AJ26" s="1122">
        <f t="shared" si="40"/>
        <v>0</v>
      </c>
      <c r="AK26" s="1124">
        <f t="shared" si="41"/>
        <v>102</v>
      </c>
      <c r="AL26" s="1100">
        <v>100</v>
      </c>
      <c r="AM26" s="1122"/>
      <c r="AN26" s="1124">
        <f t="shared" si="42"/>
        <v>2</v>
      </c>
      <c r="AO26" s="1100">
        <v>0</v>
      </c>
      <c r="AP26" s="1122">
        <f t="shared" si="43"/>
        <v>2</v>
      </c>
      <c r="AQ26" s="1124">
        <f t="shared" si="44"/>
        <v>102</v>
      </c>
      <c r="AR26" s="1100"/>
      <c r="AS26" s="1122"/>
      <c r="AT26" s="1124">
        <f t="shared" si="45"/>
        <v>14</v>
      </c>
      <c r="AU26" s="1100"/>
      <c r="AV26" s="1122">
        <v>15</v>
      </c>
      <c r="AW26" s="1124">
        <f t="shared" si="46"/>
        <v>2</v>
      </c>
      <c r="AX26" s="1100"/>
      <c r="AY26" s="1122">
        <v>2</v>
      </c>
      <c r="AZ26" s="1124">
        <f t="shared" si="47"/>
        <v>20</v>
      </c>
      <c r="BA26" s="1100"/>
      <c r="BB26" s="1122"/>
      <c r="BC26" s="1136">
        <f t="shared" si="48"/>
        <v>1.2</v>
      </c>
      <c r="BD26" s="1130"/>
      <c r="BE26" s="1130"/>
      <c r="BF26" s="1124">
        <f t="shared" si="49"/>
        <v>2</v>
      </c>
      <c r="BG26" s="1100"/>
      <c r="BH26" s="1122">
        <v>2</v>
      </c>
      <c r="BI26" s="1124"/>
      <c r="BJ26" s="1100">
        <v>1</v>
      </c>
      <c r="BK26" s="1122"/>
      <c r="BL26" s="1124"/>
      <c r="BM26" s="1100">
        <v>0</v>
      </c>
      <c r="BN26" s="1122">
        <v>1</v>
      </c>
      <c r="BO26" s="1124"/>
      <c r="BP26" s="1100"/>
      <c r="BQ26" s="1122"/>
      <c r="BR26" s="1124"/>
      <c r="BS26" s="1100">
        <v>1</v>
      </c>
      <c r="BT26" s="1122"/>
      <c r="BU26" s="1124">
        <f t="shared" si="50"/>
        <v>2</v>
      </c>
      <c r="BV26" s="1100"/>
      <c r="BW26" s="1122">
        <v>2</v>
      </c>
      <c r="BX26" s="1126">
        <f t="shared" si="51"/>
        <v>0.1</v>
      </c>
      <c r="BY26" s="1108">
        <v>4</v>
      </c>
      <c r="BZ26" s="1122">
        <f t="shared" si="52"/>
        <v>0</v>
      </c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</row>
    <row r="27" spans="1:108" ht="15.75">
      <c r="A27" s="836">
        <v>13</v>
      </c>
      <c r="B27" s="859" t="s">
        <v>620</v>
      </c>
      <c r="C27" s="1117">
        <f>'проект числ-сть'!L26</f>
        <v>65</v>
      </c>
      <c r="D27" s="1121">
        <f t="shared" si="36"/>
        <v>7</v>
      </c>
      <c r="E27" s="1100"/>
      <c r="F27" s="1122"/>
      <c r="G27" s="1121">
        <f t="shared" si="18"/>
        <v>12</v>
      </c>
      <c r="H27" s="1100"/>
      <c r="I27" s="1122"/>
      <c r="J27" s="1124"/>
      <c r="K27" s="1100"/>
      <c r="L27" s="1122"/>
      <c r="M27" s="1124"/>
      <c r="N27" s="1100"/>
      <c r="O27" s="1122"/>
      <c r="P27" s="1124"/>
      <c r="Q27" s="1100"/>
      <c r="R27" s="1122"/>
      <c r="S27" s="1124"/>
      <c r="T27" s="1100"/>
      <c r="U27" s="1122"/>
      <c r="V27" s="1124"/>
      <c r="W27" s="1100"/>
      <c r="X27" s="1122"/>
      <c r="Y27" s="1124"/>
      <c r="Z27" s="1100"/>
      <c r="AA27" s="1122"/>
      <c r="AB27" s="1124"/>
      <c r="AC27" s="1100"/>
      <c r="AD27" s="1122"/>
      <c r="AE27" s="1124">
        <f t="shared" si="37"/>
        <v>0</v>
      </c>
      <c r="AF27" s="1100"/>
      <c r="AG27" s="1122">
        <f t="shared" si="38"/>
        <v>0</v>
      </c>
      <c r="AH27" s="1124">
        <f t="shared" si="39"/>
        <v>5</v>
      </c>
      <c r="AI27" s="1100"/>
      <c r="AJ27" s="1122">
        <f t="shared" si="40"/>
        <v>5</v>
      </c>
      <c r="AK27" s="1124">
        <f t="shared" si="41"/>
        <v>20</v>
      </c>
      <c r="AL27" s="1100">
        <v>0</v>
      </c>
      <c r="AM27" s="1122"/>
      <c r="AN27" s="1124">
        <f t="shared" si="42"/>
        <v>0</v>
      </c>
      <c r="AO27" s="1100"/>
      <c r="AP27" s="1122">
        <f t="shared" si="43"/>
        <v>0</v>
      </c>
      <c r="AQ27" s="1124">
        <f t="shared" si="44"/>
        <v>20</v>
      </c>
      <c r="AR27" s="1100"/>
      <c r="AS27" s="1122"/>
      <c r="AT27" s="1124">
        <f t="shared" si="45"/>
        <v>3</v>
      </c>
      <c r="AU27" s="1100"/>
      <c r="AV27" s="1122"/>
      <c r="AW27" s="1124">
        <f t="shared" si="46"/>
        <v>0</v>
      </c>
      <c r="AX27" s="1100"/>
      <c r="AY27" s="1122"/>
      <c r="AZ27" s="1124">
        <f t="shared" si="47"/>
        <v>4</v>
      </c>
      <c r="BA27" s="1100"/>
      <c r="BB27" s="1122"/>
      <c r="BC27" s="1136">
        <f t="shared" si="48"/>
        <v>0.2</v>
      </c>
      <c r="BD27" s="1130"/>
      <c r="BE27" s="1130"/>
      <c r="BF27" s="1124">
        <f t="shared" si="49"/>
        <v>0</v>
      </c>
      <c r="BG27" s="1100"/>
      <c r="BH27" s="1122"/>
      <c r="BI27" s="1124"/>
      <c r="BJ27" s="1100"/>
      <c r="BK27" s="1122"/>
      <c r="BL27" s="1124"/>
      <c r="BM27" s="1100"/>
      <c r="BN27" s="1122"/>
      <c r="BO27" s="1124"/>
      <c r="BP27" s="1100"/>
      <c r="BQ27" s="1122"/>
      <c r="BR27" s="1124"/>
      <c r="BS27" s="1100"/>
      <c r="BT27" s="1122"/>
      <c r="BU27" s="1124">
        <f t="shared" si="50"/>
        <v>0</v>
      </c>
      <c r="BV27" s="1100"/>
      <c r="BW27" s="1122"/>
      <c r="BX27" s="1126">
        <f t="shared" si="51"/>
        <v>0</v>
      </c>
      <c r="BY27" s="1108"/>
      <c r="BZ27" s="1122">
        <f t="shared" si="52"/>
        <v>0</v>
      </c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</row>
    <row r="28" spans="1:108" s="98" customFormat="1" ht="15.75">
      <c r="A28" s="836">
        <v>14</v>
      </c>
      <c r="B28" s="859" t="s">
        <v>621</v>
      </c>
      <c r="C28" s="1117">
        <f>'проект числ-сть'!L27</f>
        <v>47</v>
      </c>
      <c r="D28" s="1121">
        <f t="shared" si="36"/>
        <v>5</v>
      </c>
      <c r="E28" s="1100"/>
      <c r="F28" s="1122"/>
      <c r="G28" s="1121">
        <f t="shared" si="18"/>
        <v>8</v>
      </c>
      <c r="H28" s="1100"/>
      <c r="I28" s="1122"/>
      <c r="J28" s="1124"/>
      <c r="K28" s="1100"/>
      <c r="L28" s="1122"/>
      <c r="M28" s="1124"/>
      <c r="N28" s="1100"/>
      <c r="O28" s="1122"/>
      <c r="P28" s="1124"/>
      <c r="Q28" s="1100"/>
      <c r="R28" s="1122"/>
      <c r="S28" s="1124"/>
      <c r="T28" s="1100"/>
      <c r="U28" s="1122"/>
      <c r="V28" s="1124"/>
      <c r="W28" s="1100"/>
      <c r="X28" s="1122"/>
      <c r="Y28" s="1124"/>
      <c r="Z28" s="1100"/>
      <c r="AA28" s="1122"/>
      <c r="AB28" s="1124"/>
      <c r="AC28" s="1100"/>
      <c r="AD28" s="1122"/>
      <c r="AE28" s="1124">
        <f t="shared" si="37"/>
        <v>0</v>
      </c>
      <c r="AF28" s="1100"/>
      <c r="AG28" s="1122">
        <f t="shared" si="38"/>
        <v>0</v>
      </c>
      <c r="AH28" s="1124">
        <f t="shared" si="39"/>
        <v>4</v>
      </c>
      <c r="AI28" s="1100"/>
      <c r="AJ28" s="1122">
        <f t="shared" si="40"/>
        <v>4</v>
      </c>
      <c r="AK28" s="1124">
        <f t="shared" si="41"/>
        <v>14</v>
      </c>
      <c r="AL28" s="1100"/>
      <c r="AM28" s="1122"/>
      <c r="AN28" s="1124">
        <f t="shared" si="42"/>
        <v>0</v>
      </c>
      <c r="AO28" s="1100"/>
      <c r="AP28" s="1122">
        <f t="shared" si="43"/>
        <v>0</v>
      </c>
      <c r="AQ28" s="1124">
        <f t="shared" si="44"/>
        <v>14</v>
      </c>
      <c r="AR28" s="1100"/>
      <c r="AS28" s="1122"/>
      <c r="AT28" s="1124">
        <f t="shared" si="45"/>
        <v>2</v>
      </c>
      <c r="AU28" s="1100"/>
      <c r="AV28" s="1122"/>
      <c r="AW28" s="1124">
        <f t="shared" si="46"/>
        <v>0</v>
      </c>
      <c r="AX28" s="1100"/>
      <c r="AY28" s="1122"/>
      <c r="AZ28" s="1124">
        <f t="shared" si="47"/>
        <v>3</v>
      </c>
      <c r="BA28" s="1100"/>
      <c r="BB28" s="1122"/>
      <c r="BC28" s="1136">
        <f t="shared" si="48"/>
        <v>0.2</v>
      </c>
      <c r="BD28" s="1130"/>
      <c r="BE28" s="1130"/>
      <c r="BF28" s="1124">
        <f t="shared" si="49"/>
        <v>0</v>
      </c>
      <c r="BG28" s="1100"/>
      <c r="BH28" s="1122"/>
      <c r="BI28" s="1124"/>
      <c r="BJ28" s="1100"/>
      <c r="BK28" s="1122"/>
      <c r="BL28" s="1124"/>
      <c r="BM28" s="1100"/>
      <c r="BN28" s="1122"/>
      <c r="BO28" s="1124"/>
      <c r="BP28" s="1100"/>
      <c r="BQ28" s="1122"/>
      <c r="BR28" s="1124"/>
      <c r="BS28" s="1100"/>
      <c r="BT28" s="1122"/>
      <c r="BU28" s="1124">
        <f t="shared" si="50"/>
        <v>0</v>
      </c>
      <c r="BV28" s="1100"/>
      <c r="BW28" s="1122"/>
      <c r="BX28" s="1126">
        <f t="shared" si="51"/>
        <v>0</v>
      </c>
      <c r="BY28" s="1108"/>
      <c r="BZ28" s="1122">
        <f t="shared" si="52"/>
        <v>0</v>
      </c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</row>
    <row r="29" spans="1:108" s="98" customFormat="1" ht="15.75">
      <c r="A29" s="990"/>
      <c r="B29" s="991" t="s">
        <v>271</v>
      </c>
      <c r="C29" s="1116">
        <f>'проект числ-сть'!L28</f>
        <v>1547</v>
      </c>
      <c r="D29" s="1119">
        <f>D30+D31+D32+D33+D34</f>
        <v>155</v>
      </c>
      <c r="E29" s="992">
        <f t="shared" ref="E29:F29" si="163">E30+E31+E32+E33+E34</f>
        <v>25</v>
      </c>
      <c r="F29" s="1120">
        <f t="shared" si="163"/>
        <v>90</v>
      </c>
      <c r="G29" s="1119">
        <f t="shared" ref="G29" si="164">G30+G31+G32+G33+G34</f>
        <v>279</v>
      </c>
      <c r="H29" s="992">
        <f t="shared" ref="H29:I29" si="165">H30+H31+H32+H33+H34</f>
        <v>610</v>
      </c>
      <c r="I29" s="1120">
        <f t="shared" si="165"/>
        <v>120</v>
      </c>
      <c r="J29" s="1119">
        <f t="shared" ref="J29" si="166">J30+J31+J32+J33+J34</f>
        <v>0</v>
      </c>
      <c r="K29" s="992">
        <f t="shared" ref="K29:L29" si="167">K30+K31+K32+K33+K34</f>
        <v>0</v>
      </c>
      <c r="L29" s="1120">
        <f t="shared" si="167"/>
        <v>0</v>
      </c>
      <c r="M29" s="1119">
        <f t="shared" ref="M29" si="168">M30+M31+M32+M33+M34</f>
        <v>0</v>
      </c>
      <c r="N29" s="992">
        <f t="shared" ref="N29:R29" si="169">N30+N31+N32+N33+N34</f>
        <v>0</v>
      </c>
      <c r="O29" s="1120">
        <f t="shared" si="169"/>
        <v>0</v>
      </c>
      <c r="P29" s="1119">
        <f t="shared" si="169"/>
        <v>0</v>
      </c>
      <c r="Q29" s="992">
        <f t="shared" si="169"/>
        <v>0</v>
      </c>
      <c r="R29" s="1120">
        <f t="shared" si="169"/>
        <v>0</v>
      </c>
      <c r="S29" s="1119">
        <f t="shared" ref="S29" si="170">S30+S31+S32+S33+S34</f>
        <v>0</v>
      </c>
      <c r="T29" s="992">
        <f t="shared" ref="T29:U29" si="171">T30+T31+T32+T33+T34</f>
        <v>2</v>
      </c>
      <c r="U29" s="1120">
        <f t="shared" si="171"/>
        <v>1</v>
      </c>
      <c r="V29" s="1119">
        <f t="shared" ref="V29" si="172">V30+V31+V32+V33+V34</f>
        <v>0</v>
      </c>
      <c r="W29" s="992">
        <f t="shared" ref="W29:X29" si="173">W30+W31+W32+W33+W34</f>
        <v>0</v>
      </c>
      <c r="X29" s="1120">
        <f t="shared" si="173"/>
        <v>0</v>
      </c>
      <c r="Y29" s="1119">
        <f t="shared" ref="Y29" si="174">Y30+Y31+Y32+Y33+Y34</f>
        <v>0</v>
      </c>
      <c r="Z29" s="992">
        <f t="shared" ref="Z29:BZ29" si="175">Z30+Z31+Z32+Z33+Z34</f>
        <v>0</v>
      </c>
      <c r="AA29" s="1120">
        <f t="shared" si="175"/>
        <v>0</v>
      </c>
      <c r="AB29" s="1119">
        <f t="shared" si="175"/>
        <v>0</v>
      </c>
      <c r="AC29" s="992">
        <f t="shared" si="175"/>
        <v>0</v>
      </c>
      <c r="AD29" s="1120">
        <f t="shared" si="175"/>
        <v>3</v>
      </c>
      <c r="AE29" s="1119">
        <f t="shared" si="175"/>
        <v>1</v>
      </c>
      <c r="AF29" s="992" t="s">
        <v>890</v>
      </c>
      <c r="AG29" s="1120">
        <f t="shared" si="175"/>
        <v>1.1000000000000001</v>
      </c>
      <c r="AH29" s="1119">
        <f t="shared" si="175"/>
        <v>124</v>
      </c>
      <c r="AI29" s="992">
        <f t="shared" si="175"/>
        <v>324</v>
      </c>
      <c r="AJ29" s="1120">
        <f t="shared" si="175"/>
        <v>64</v>
      </c>
      <c r="AK29" s="1119">
        <f t="shared" si="175"/>
        <v>464</v>
      </c>
      <c r="AL29" s="992">
        <f t="shared" si="175"/>
        <v>80</v>
      </c>
      <c r="AM29" s="1120">
        <f t="shared" si="175"/>
        <v>350</v>
      </c>
      <c r="AN29" s="1119">
        <f t="shared" si="175"/>
        <v>10</v>
      </c>
      <c r="AO29" s="992">
        <f t="shared" si="175"/>
        <v>40</v>
      </c>
      <c r="AP29" s="1120">
        <f t="shared" si="175"/>
        <v>11</v>
      </c>
      <c r="AQ29" s="1119">
        <f t="shared" si="175"/>
        <v>464</v>
      </c>
      <c r="AR29" s="992" t="s">
        <v>890</v>
      </c>
      <c r="AS29" s="1120">
        <f t="shared" si="175"/>
        <v>100</v>
      </c>
      <c r="AT29" s="1119">
        <f t="shared" si="175"/>
        <v>62</v>
      </c>
      <c r="AU29" s="992">
        <f t="shared" si="175"/>
        <v>0</v>
      </c>
      <c r="AV29" s="1120">
        <f t="shared" si="175"/>
        <v>60</v>
      </c>
      <c r="AW29" s="1119">
        <f t="shared" si="175"/>
        <v>10</v>
      </c>
      <c r="AX29" s="992">
        <f t="shared" si="175"/>
        <v>0</v>
      </c>
      <c r="AY29" s="1120">
        <f t="shared" si="175"/>
        <v>9</v>
      </c>
      <c r="AZ29" s="1119">
        <f t="shared" si="175"/>
        <v>93</v>
      </c>
      <c r="BA29" s="992">
        <f t="shared" si="175"/>
        <v>0</v>
      </c>
      <c r="BB29" s="1120">
        <f t="shared" si="175"/>
        <v>100</v>
      </c>
      <c r="BC29" s="1135">
        <f t="shared" si="175"/>
        <v>5.4</v>
      </c>
      <c r="BD29" s="992">
        <f t="shared" si="175"/>
        <v>0</v>
      </c>
      <c r="BE29" s="992">
        <f t="shared" si="175"/>
        <v>0</v>
      </c>
      <c r="BF29" s="1119">
        <f t="shared" si="175"/>
        <v>10</v>
      </c>
      <c r="BG29" s="992">
        <f t="shared" si="175"/>
        <v>0</v>
      </c>
      <c r="BH29" s="1120">
        <f t="shared" si="175"/>
        <v>10</v>
      </c>
      <c r="BI29" s="1119">
        <f t="shared" si="175"/>
        <v>0</v>
      </c>
      <c r="BJ29" s="992">
        <f t="shared" si="175"/>
        <v>2</v>
      </c>
      <c r="BK29" s="1120">
        <f t="shared" si="175"/>
        <v>0</v>
      </c>
      <c r="BL29" s="1119">
        <f t="shared" si="175"/>
        <v>0</v>
      </c>
      <c r="BM29" s="992">
        <f t="shared" si="175"/>
        <v>2</v>
      </c>
      <c r="BN29" s="1120">
        <f t="shared" si="175"/>
        <v>1</v>
      </c>
      <c r="BO29" s="1119">
        <f t="shared" si="175"/>
        <v>0</v>
      </c>
      <c r="BP29" s="992">
        <f t="shared" si="175"/>
        <v>1</v>
      </c>
      <c r="BQ29" s="1120">
        <f t="shared" si="175"/>
        <v>0</v>
      </c>
      <c r="BR29" s="1119">
        <f t="shared" si="175"/>
        <v>0</v>
      </c>
      <c r="BS29" s="992">
        <f t="shared" si="175"/>
        <v>1</v>
      </c>
      <c r="BT29" s="1120">
        <f t="shared" si="175"/>
        <v>1</v>
      </c>
      <c r="BU29" s="1119">
        <f t="shared" si="175"/>
        <v>10</v>
      </c>
      <c r="BV29" s="992">
        <f t="shared" si="175"/>
        <v>0</v>
      </c>
      <c r="BW29" s="1120">
        <f t="shared" si="175"/>
        <v>9</v>
      </c>
      <c r="BX29" s="1125">
        <f t="shared" si="175"/>
        <v>0.30000000000000004</v>
      </c>
      <c r="BY29" s="1107">
        <f t="shared" si="175"/>
        <v>4</v>
      </c>
      <c r="BZ29" s="1120">
        <f t="shared" si="175"/>
        <v>0</v>
      </c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576"/>
      <c r="CZ29" s="576"/>
      <c r="DA29" s="576"/>
      <c r="DB29" s="576"/>
      <c r="DC29" s="576"/>
      <c r="DD29" s="576"/>
    </row>
    <row r="30" spans="1:108" ht="15.75">
      <c r="A30" s="836">
        <v>15</v>
      </c>
      <c r="B30" s="859" t="s">
        <v>602</v>
      </c>
      <c r="C30" s="1117">
        <f>'проект числ-сть'!L29</f>
        <v>498</v>
      </c>
      <c r="D30" s="1121">
        <f t="shared" si="36"/>
        <v>50</v>
      </c>
      <c r="E30" s="1100">
        <v>25</v>
      </c>
      <c r="F30" s="1122">
        <v>20</v>
      </c>
      <c r="G30" s="1121">
        <f t="shared" si="18"/>
        <v>90</v>
      </c>
      <c r="H30" s="1100">
        <v>320</v>
      </c>
      <c r="I30" s="1122"/>
      <c r="J30" s="1124"/>
      <c r="K30" s="1100"/>
      <c r="L30" s="1122"/>
      <c r="M30" s="1124"/>
      <c r="N30" s="1100"/>
      <c r="O30" s="1122"/>
      <c r="P30" s="1124"/>
      <c r="Q30" s="1100"/>
      <c r="R30" s="1122"/>
      <c r="S30" s="1124"/>
      <c r="T30" s="1100">
        <v>1</v>
      </c>
      <c r="U30" s="1122"/>
      <c r="V30" s="1124"/>
      <c r="W30" s="1100"/>
      <c r="X30" s="1122"/>
      <c r="Y30" s="1124"/>
      <c r="Z30" s="1100"/>
      <c r="AA30" s="1122"/>
      <c r="AB30" s="1124"/>
      <c r="AC30" s="1100"/>
      <c r="AD30" s="1122">
        <v>1</v>
      </c>
      <c r="AE30" s="1124">
        <f t="shared" si="37"/>
        <v>0.3</v>
      </c>
      <c r="AF30" s="1100"/>
      <c r="AG30" s="1122">
        <f t="shared" si="38"/>
        <v>0.3</v>
      </c>
      <c r="AH30" s="1124">
        <f t="shared" si="39"/>
        <v>40</v>
      </c>
      <c r="AI30" s="1100">
        <v>162</v>
      </c>
      <c r="AJ30" s="1122">
        <f t="shared" si="40"/>
        <v>0</v>
      </c>
      <c r="AK30" s="1124">
        <f t="shared" si="41"/>
        <v>149</v>
      </c>
      <c r="AL30" s="1100">
        <v>0</v>
      </c>
      <c r="AM30" s="1122">
        <v>150</v>
      </c>
      <c r="AN30" s="1124">
        <f t="shared" si="42"/>
        <v>3</v>
      </c>
      <c r="AO30" s="1100">
        <v>10</v>
      </c>
      <c r="AP30" s="1122">
        <f t="shared" si="43"/>
        <v>0</v>
      </c>
      <c r="AQ30" s="1124">
        <f t="shared" si="44"/>
        <v>149</v>
      </c>
      <c r="AR30" s="1100"/>
      <c r="AS30" s="1122"/>
      <c r="AT30" s="1124">
        <f t="shared" si="45"/>
        <v>20</v>
      </c>
      <c r="AU30" s="1100"/>
      <c r="AV30" s="1122">
        <v>30</v>
      </c>
      <c r="AW30" s="1124">
        <f t="shared" si="46"/>
        <v>3</v>
      </c>
      <c r="AX30" s="1100"/>
      <c r="AY30" s="1122">
        <v>5</v>
      </c>
      <c r="AZ30" s="1124">
        <f t="shared" si="47"/>
        <v>30</v>
      </c>
      <c r="BA30" s="1100"/>
      <c r="BB30" s="1122"/>
      <c r="BC30" s="1136">
        <f t="shared" si="48"/>
        <v>1.7</v>
      </c>
      <c r="BD30" s="1130"/>
      <c r="BE30" s="1130"/>
      <c r="BF30" s="1124">
        <f t="shared" si="49"/>
        <v>3</v>
      </c>
      <c r="BG30" s="1100"/>
      <c r="BH30" s="1122">
        <v>5</v>
      </c>
      <c r="BI30" s="1124"/>
      <c r="BJ30" s="1100">
        <v>1</v>
      </c>
      <c r="BK30" s="1122"/>
      <c r="BL30" s="1124"/>
      <c r="BM30" s="1100">
        <v>1</v>
      </c>
      <c r="BN30" s="1122"/>
      <c r="BO30" s="1124"/>
      <c r="BP30" s="1100"/>
      <c r="BQ30" s="1122"/>
      <c r="BR30" s="1124"/>
      <c r="BS30" s="1100">
        <v>1</v>
      </c>
      <c r="BT30" s="1122"/>
      <c r="BU30" s="1124">
        <f t="shared" si="50"/>
        <v>3</v>
      </c>
      <c r="BV30" s="1100"/>
      <c r="BW30" s="1122">
        <v>4</v>
      </c>
      <c r="BX30" s="1126">
        <f t="shared" si="51"/>
        <v>0.1</v>
      </c>
      <c r="BY30" s="1108">
        <v>1.4</v>
      </c>
      <c r="BZ30" s="1122">
        <f t="shared" si="52"/>
        <v>0</v>
      </c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</row>
    <row r="31" spans="1:108" s="98" customFormat="1" ht="15.75">
      <c r="A31" s="836">
        <v>16</v>
      </c>
      <c r="B31" s="859" t="s">
        <v>701</v>
      </c>
      <c r="C31" s="1117">
        <f>'проект числ-сть'!L30</f>
        <v>109</v>
      </c>
      <c r="D31" s="1121">
        <f t="shared" si="36"/>
        <v>11</v>
      </c>
      <c r="E31" s="1100"/>
      <c r="F31" s="1122"/>
      <c r="G31" s="1121">
        <f t="shared" si="18"/>
        <v>20</v>
      </c>
      <c r="H31" s="1100"/>
      <c r="I31" s="1122"/>
      <c r="J31" s="1124"/>
      <c r="K31" s="1100"/>
      <c r="L31" s="1122"/>
      <c r="M31" s="1124"/>
      <c r="N31" s="1100"/>
      <c r="O31" s="1122"/>
      <c r="P31" s="1124"/>
      <c r="Q31" s="1100"/>
      <c r="R31" s="1122"/>
      <c r="S31" s="1124"/>
      <c r="T31" s="1100"/>
      <c r="U31" s="1122"/>
      <c r="V31" s="1124"/>
      <c r="W31" s="1100"/>
      <c r="X31" s="1122"/>
      <c r="Y31" s="1124"/>
      <c r="Z31" s="1100"/>
      <c r="AA31" s="1122"/>
      <c r="AB31" s="1124"/>
      <c r="AC31" s="1100"/>
      <c r="AD31" s="1122"/>
      <c r="AE31" s="1124">
        <f t="shared" si="37"/>
        <v>0.1</v>
      </c>
      <c r="AF31" s="1100"/>
      <c r="AG31" s="1122">
        <f t="shared" si="38"/>
        <v>0.1</v>
      </c>
      <c r="AH31" s="1124">
        <f t="shared" si="39"/>
        <v>9</v>
      </c>
      <c r="AI31" s="1100"/>
      <c r="AJ31" s="1122">
        <f t="shared" si="40"/>
        <v>9</v>
      </c>
      <c r="AK31" s="1124">
        <f t="shared" si="41"/>
        <v>33</v>
      </c>
      <c r="AL31" s="1100">
        <v>0</v>
      </c>
      <c r="AM31" s="1122"/>
      <c r="AN31" s="1124">
        <f t="shared" si="42"/>
        <v>1</v>
      </c>
      <c r="AO31" s="1100"/>
      <c r="AP31" s="1122">
        <f t="shared" si="43"/>
        <v>1</v>
      </c>
      <c r="AQ31" s="1124">
        <f t="shared" si="44"/>
        <v>33</v>
      </c>
      <c r="AR31" s="1100"/>
      <c r="AS31" s="1122"/>
      <c r="AT31" s="1124">
        <f t="shared" si="45"/>
        <v>4</v>
      </c>
      <c r="AU31" s="1100"/>
      <c r="AV31" s="1122"/>
      <c r="AW31" s="1124">
        <f t="shared" si="46"/>
        <v>1</v>
      </c>
      <c r="AX31" s="1100"/>
      <c r="AY31" s="1122"/>
      <c r="AZ31" s="1124">
        <f t="shared" si="47"/>
        <v>7</v>
      </c>
      <c r="BA31" s="1100"/>
      <c r="BB31" s="1122"/>
      <c r="BC31" s="1136">
        <f t="shared" si="48"/>
        <v>0.4</v>
      </c>
      <c r="BD31" s="1130"/>
      <c r="BE31" s="1130"/>
      <c r="BF31" s="1124">
        <f t="shared" si="49"/>
        <v>1</v>
      </c>
      <c r="BG31" s="1100"/>
      <c r="BH31" s="1122"/>
      <c r="BI31" s="1124"/>
      <c r="BJ31" s="1100"/>
      <c r="BK31" s="1122"/>
      <c r="BL31" s="1124"/>
      <c r="BM31" s="1100"/>
      <c r="BN31" s="1122"/>
      <c r="BO31" s="1124"/>
      <c r="BP31" s="1100"/>
      <c r="BQ31" s="1122"/>
      <c r="BR31" s="1124"/>
      <c r="BS31" s="1100"/>
      <c r="BT31" s="1122"/>
      <c r="BU31" s="1124">
        <f t="shared" si="50"/>
        <v>1</v>
      </c>
      <c r="BV31" s="1100"/>
      <c r="BW31" s="1122"/>
      <c r="BX31" s="1126">
        <f t="shared" si="51"/>
        <v>0</v>
      </c>
      <c r="BY31" s="1108">
        <v>0.6</v>
      </c>
      <c r="BZ31" s="1122">
        <f t="shared" si="52"/>
        <v>0</v>
      </c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</row>
    <row r="32" spans="1:108" s="9" customFormat="1" ht="15.75">
      <c r="A32" s="844">
        <v>17</v>
      </c>
      <c r="B32" s="1134" t="s">
        <v>605</v>
      </c>
      <c r="C32" s="1117">
        <f>'проект числ-сть'!L31</f>
        <v>590</v>
      </c>
      <c r="D32" s="1121">
        <f t="shared" si="36"/>
        <v>59</v>
      </c>
      <c r="E32" s="1130">
        <v>0</v>
      </c>
      <c r="F32" s="1122">
        <v>50</v>
      </c>
      <c r="G32" s="1121">
        <f t="shared" si="18"/>
        <v>106</v>
      </c>
      <c r="H32" s="1130">
        <v>0</v>
      </c>
      <c r="I32" s="1122">
        <v>120</v>
      </c>
      <c r="J32" s="1124"/>
      <c r="K32" s="1130"/>
      <c r="L32" s="1122"/>
      <c r="M32" s="1124"/>
      <c r="N32" s="1130"/>
      <c r="O32" s="1122"/>
      <c r="P32" s="1124"/>
      <c r="Q32" s="1130"/>
      <c r="R32" s="1122"/>
      <c r="S32" s="1124"/>
      <c r="T32" s="1130">
        <v>0</v>
      </c>
      <c r="U32" s="1122">
        <v>1</v>
      </c>
      <c r="V32" s="1124"/>
      <c r="W32" s="1130"/>
      <c r="X32" s="1122"/>
      <c r="Y32" s="1124"/>
      <c r="Z32" s="1130"/>
      <c r="AA32" s="1122"/>
      <c r="AB32" s="1124"/>
      <c r="AC32" s="1130"/>
      <c r="AD32" s="1122"/>
      <c r="AE32" s="1124">
        <f t="shared" si="37"/>
        <v>0.4</v>
      </c>
      <c r="AF32" s="1130"/>
      <c r="AG32" s="1122">
        <v>0.5</v>
      </c>
      <c r="AH32" s="1124">
        <f t="shared" si="39"/>
        <v>47</v>
      </c>
      <c r="AI32" s="1130">
        <v>0</v>
      </c>
      <c r="AJ32" s="1122">
        <v>50</v>
      </c>
      <c r="AK32" s="1124">
        <f t="shared" si="41"/>
        <v>177</v>
      </c>
      <c r="AL32" s="1130">
        <v>0</v>
      </c>
      <c r="AM32" s="1122">
        <v>200</v>
      </c>
      <c r="AN32" s="1124">
        <f t="shared" si="42"/>
        <v>4</v>
      </c>
      <c r="AO32" s="1130">
        <v>0</v>
      </c>
      <c r="AP32" s="1122">
        <v>10</v>
      </c>
      <c r="AQ32" s="1124">
        <f t="shared" si="44"/>
        <v>177</v>
      </c>
      <c r="AR32" s="1130"/>
      <c r="AS32" s="1122">
        <v>100</v>
      </c>
      <c r="AT32" s="1124">
        <f t="shared" si="45"/>
        <v>24</v>
      </c>
      <c r="AU32" s="1130"/>
      <c r="AV32" s="1122">
        <v>30</v>
      </c>
      <c r="AW32" s="1124">
        <f t="shared" si="46"/>
        <v>4</v>
      </c>
      <c r="AX32" s="1130"/>
      <c r="AY32" s="1122">
        <v>4</v>
      </c>
      <c r="AZ32" s="1124">
        <f t="shared" si="47"/>
        <v>35</v>
      </c>
      <c r="BA32" s="1130"/>
      <c r="BB32" s="1122">
        <v>100</v>
      </c>
      <c r="BC32" s="1136">
        <f t="shared" si="48"/>
        <v>2.1</v>
      </c>
      <c r="BD32" s="1130"/>
      <c r="BE32" s="1130"/>
      <c r="BF32" s="1124">
        <f t="shared" si="49"/>
        <v>4</v>
      </c>
      <c r="BG32" s="1130"/>
      <c r="BH32" s="1122">
        <v>5</v>
      </c>
      <c r="BI32" s="1124"/>
      <c r="BJ32" s="1130"/>
      <c r="BK32" s="1122"/>
      <c r="BL32" s="1124"/>
      <c r="BM32" s="1130">
        <v>0</v>
      </c>
      <c r="BN32" s="1122">
        <v>1</v>
      </c>
      <c r="BO32" s="1124"/>
      <c r="BP32" s="1130">
        <v>1</v>
      </c>
      <c r="BQ32" s="1122"/>
      <c r="BR32" s="1124"/>
      <c r="BS32" s="1130"/>
      <c r="BT32" s="1122">
        <v>1</v>
      </c>
      <c r="BU32" s="1124">
        <f t="shared" si="50"/>
        <v>4</v>
      </c>
      <c r="BV32" s="1130"/>
      <c r="BW32" s="1122">
        <v>5</v>
      </c>
      <c r="BX32" s="1126">
        <f t="shared" si="51"/>
        <v>0.1</v>
      </c>
      <c r="BY32" s="1108">
        <v>0.7</v>
      </c>
      <c r="BZ32" s="1122">
        <f t="shared" si="52"/>
        <v>0</v>
      </c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</row>
    <row r="33" spans="1:108" ht="15.75">
      <c r="A33" s="836">
        <v>18</v>
      </c>
      <c r="B33" s="859" t="s">
        <v>702</v>
      </c>
      <c r="C33" s="1117">
        <f>'проект числ-сть'!L32</f>
        <v>286</v>
      </c>
      <c r="D33" s="1121">
        <f t="shared" si="36"/>
        <v>29</v>
      </c>
      <c r="E33" s="1100"/>
      <c r="F33" s="1122">
        <v>20</v>
      </c>
      <c r="G33" s="1121">
        <f t="shared" si="18"/>
        <v>51</v>
      </c>
      <c r="H33" s="1100">
        <v>290</v>
      </c>
      <c r="I33" s="1122"/>
      <c r="J33" s="1124"/>
      <c r="K33" s="1100"/>
      <c r="L33" s="1122"/>
      <c r="M33" s="1124"/>
      <c r="N33" s="1100"/>
      <c r="O33" s="1122"/>
      <c r="P33" s="1124"/>
      <c r="Q33" s="1100"/>
      <c r="R33" s="1122"/>
      <c r="S33" s="1124"/>
      <c r="T33" s="1100">
        <v>1</v>
      </c>
      <c r="U33" s="1122"/>
      <c r="V33" s="1124"/>
      <c r="W33" s="1100"/>
      <c r="X33" s="1122"/>
      <c r="Y33" s="1124"/>
      <c r="Z33" s="1100"/>
      <c r="AA33" s="1122"/>
      <c r="AB33" s="1124"/>
      <c r="AC33" s="1100"/>
      <c r="AD33" s="1122">
        <v>1</v>
      </c>
      <c r="AE33" s="1124">
        <f t="shared" si="37"/>
        <v>0.2</v>
      </c>
      <c r="AF33" s="1100"/>
      <c r="AG33" s="1122">
        <f t="shared" si="38"/>
        <v>0.2</v>
      </c>
      <c r="AH33" s="1124">
        <f t="shared" si="39"/>
        <v>23</v>
      </c>
      <c r="AI33" s="1100">
        <v>162</v>
      </c>
      <c r="AJ33" s="1122">
        <f t="shared" si="40"/>
        <v>0</v>
      </c>
      <c r="AK33" s="1124">
        <f t="shared" si="41"/>
        <v>86</v>
      </c>
      <c r="AL33" s="1100">
        <v>80</v>
      </c>
      <c r="AM33" s="1122"/>
      <c r="AN33" s="1124">
        <f t="shared" si="42"/>
        <v>2</v>
      </c>
      <c r="AO33" s="1100">
        <v>30</v>
      </c>
      <c r="AP33" s="1122">
        <f t="shared" si="43"/>
        <v>0</v>
      </c>
      <c r="AQ33" s="1124">
        <f t="shared" si="44"/>
        <v>86</v>
      </c>
      <c r="AR33" s="1100"/>
      <c r="AS33" s="1122"/>
      <c r="AT33" s="1124">
        <f t="shared" si="45"/>
        <v>11</v>
      </c>
      <c r="AU33" s="1100"/>
      <c r="AV33" s="1122"/>
      <c r="AW33" s="1124">
        <f t="shared" si="46"/>
        <v>2</v>
      </c>
      <c r="AX33" s="1100"/>
      <c r="AY33" s="1122"/>
      <c r="AZ33" s="1124">
        <f t="shared" si="47"/>
        <v>17</v>
      </c>
      <c r="BA33" s="1100"/>
      <c r="BB33" s="1122"/>
      <c r="BC33" s="1136">
        <f t="shared" si="48"/>
        <v>1</v>
      </c>
      <c r="BD33" s="1130"/>
      <c r="BE33" s="1130"/>
      <c r="BF33" s="1124">
        <f t="shared" si="49"/>
        <v>2</v>
      </c>
      <c r="BG33" s="1100"/>
      <c r="BH33" s="1122"/>
      <c r="BI33" s="1124"/>
      <c r="BJ33" s="1100">
        <v>1</v>
      </c>
      <c r="BK33" s="1122"/>
      <c r="BL33" s="1124"/>
      <c r="BM33" s="1100">
        <v>1</v>
      </c>
      <c r="BN33" s="1122"/>
      <c r="BO33" s="1124"/>
      <c r="BP33" s="1100"/>
      <c r="BQ33" s="1122"/>
      <c r="BR33" s="1124"/>
      <c r="BS33" s="1100"/>
      <c r="BT33" s="1122"/>
      <c r="BU33" s="1124">
        <f t="shared" si="50"/>
        <v>2</v>
      </c>
      <c r="BV33" s="1100"/>
      <c r="BW33" s="1122"/>
      <c r="BX33" s="1126">
        <f t="shared" si="51"/>
        <v>0.1</v>
      </c>
      <c r="BY33" s="1108">
        <v>0.7</v>
      </c>
      <c r="BZ33" s="1122">
        <f t="shared" si="52"/>
        <v>0</v>
      </c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</row>
    <row r="34" spans="1:108" ht="15.75">
      <c r="A34" s="836">
        <v>19</v>
      </c>
      <c r="B34" s="859" t="s">
        <v>703</v>
      </c>
      <c r="C34" s="1117">
        <f>'проект числ-сть'!L33</f>
        <v>64</v>
      </c>
      <c r="D34" s="1121">
        <f t="shared" si="36"/>
        <v>6</v>
      </c>
      <c r="E34" s="1100"/>
      <c r="F34" s="1122"/>
      <c r="G34" s="1121">
        <f t="shared" si="18"/>
        <v>12</v>
      </c>
      <c r="H34" s="1100"/>
      <c r="I34" s="1122"/>
      <c r="J34" s="1124"/>
      <c r="K34" s="1100"/>
      <c r="L34" s="1122"/>
      <c r="M34" s="1124"/>
      <c r="N34" s="1100"/>
      <c r="O34" s="1122"/>
      <c r="P34" s="1124"/>
      <c r="Q34" s="1100"/>
      <c r="R34" s="1122"/>
      <c r="S34" s="1124"/>
      <c r="T34" s="1100"/>
      <c r="U34" s="1122"/>
      <c r="V34" s="1124"/>
      <c r="W34" s="1100"/>
      <c r="X34" s="1122"/>
      <c r="Y34" s="1124"/>
      <c r="Z34" s="1100"/>
      <c r="AA34" s="1122"/>
      <c r="AB34" s="1124"/>
      <c r="AC34" s="1100"/>
      <c r="AD34" s="1122">
        <v>1</v>
      </c>
      <c r="AE34" s="1124">
        <f t="shared" si="37"/>
        <v>0</v>
      </c>
      <c r="AF34" s="1100"/>
      <c r="AG34" s="1122">
        <f t="shared" si="38"/>
        <v>0</v>
      </c>
      <c r="AH34" s="1124">
        <f t="shared" si="39"/>
        <v>5</v>
      </c>
      <c r="AI34" s="1100"/>
      <c r="AJ34" s="1122">
        <f t="shared" si="40"/>
        <v>5</v>
      </c>
      <c r="AK34" s="1124">
        <f t="shared" si="41"/>
        <v>19</v>
      </c>
      <c r="AL34" s="1100"/>
      <c r="AM34" s="1122"/>
      <c r="AN34" s="1124">
        <f t="shared" si="42"/>
        <v>0</v>
      </c>
      <c r="AO34" s="1100"/>
      <c r="AP34" s="1122">
        <f t="shared" si="43"/>
        <v>0</v>
      </c>
      <c r="AQ34" s="1124">
        <f t="shared" si="44"/>
        <v>19</v>
      </c>
      <c r="AR34" s="1100"/>
      <c r="AS34" s="1122"/>
      <c r="AT34" s="1124">
        <f t="shared" si="45"/>
        <v>3</v>
      </c>
      <c r="AU34" s="1100"/>
      <c r="AV34" s="1122"/>
      <c r="AW34" s="1124">
        <f t="shared" si="46"/>
        <v>0</v>
      </c>
      <c r="AX34" s="1100"/>
      <c r="AY34" s="1122"/>
      <c r="AZ34" s="1124">
        <f t="shared" si="47"/>
        <v>4</v>
      </c>
      <c r="BA34" s="1100"/>
      <c r="BB34" s="1122"/>
      <c r="BC34" s="1136">
        <f t="shared" si="48"/>
        <v>0.2</v>
      </c>
      <c r="BD34" s="1130"/>
      <c r="BE34" s="1130"/>
      <c r="BF34" s="1124">
        <f t="shared" si="49"/>
        <v>0</v>
      </c>
      <c r="BG34" s="1100"/>
      <c r="BH34" s="1122"/>
      <c r="BI34" s="1124"/>
      <c r="BJ34" s="1100"/>
      <c r="BK34" s="1122"/>
      <c r="BL34" s="1124"/>
      <c r="BM34" s="1100"/>
      <c r="BN34" s="1122"/>
      <c r="BO34" s="1124"/>
      <c r="BP34" s="1100"/>
      <c r="BQ34" s="1122"/>
      <c r="BR34" s="1124"/>
      <c r="BS34" s="1100"/>
      <c r="BT34" s="1122"/>
      <c r="BU34" s="1124">
        <f t="shared" si="50"/>
        <v>0</v>
      </c>
      <c r="BV34" s="1100"/>
      <c r="BW34" s="1122"/>
      <c r="BX34" s="1126">
        <f t="shared" si="51"/>
        <v>0</v>
      </c>
      <c r="BY34" s="1108">
        <v>0.6</v>
      </c>
      <c r="BZ34" s="1122">
        <f t="shared" si="52"/>
        <v>0</v>
      </c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</row>
    <row r="35" spans="1:108" s="98" customFormat="1" ht="15.75">
      <c r="A35" s="990"/>
      <c r="B35" s="991" t="s">
        <v>277</v>
      </c>
      <c r="C35" s="1116">
        <f>'проект числ-сть'!L34</f>
        <v>704</v>
      </c>
      <c r="D35" s="1119">
        <f>D36+D37+D38+D39+D40</f>
        <v>71</v>
      </c>
      <c r="E35" s="992">
        <f t="shared" ref="E35:F35" si="176">E36+E37+E38+E39+E40</f>
        <v>0</v>
      </c>
      <c r="F35" s="1120">
        <f t="shared" si="176"/>
        <v>40</v>
      </c>
      <c r="G35" s="1119">
        <f t="shared" ref="G35" si="177">G36+G37+G38+G39+G40</f>
        <v>127</v>
      </c>
      <c r="H35" s="992">
        <f t="shared" ref="H35:I35" si="178">H36+H37+H38+H39+H40</f>
        <v>120</v>
      </c>
      <c r="I35" s="1120">
        <f t="shared" si="178"/>
        <v>0</v>
      </c>
      <c r="J35" s="1119">
        <f t="shared" ref="J35" si="179">J36+J37+J38+J39+J40</f>
        <v>0</v>
      </c>
      <c r="K35" s="992">
        <f t="shared" ref="K35:L35" si="180">K36+K37+K38+K39+K40</f>
        <v>0</v>
      </c>
      <c r="L35" s="1120">
        <f t="shared" si="180"/>
        <v>0</v>
      </c>
      <c r="M35" s="1119">
        <f t="shared" ref="M35" si="181">M36+M37+M38+M39+M40</f>
        <v>0</v>
      </c>
      <c r="N35" s="992">
        <f t="shared" ref="N35:R35" si="182">N36+N37+N38+N39+N40</f>
        <v>0</v>
      </c>
      <c r="O35" s="1120">
        <f t="shared" si="182"/>
        <v>0</v>
      </c>
      <c r="P35" s="1119">
        <f t="shared" si="182"/>
        <v>0</v>
      </c>
      <c r="Q35" s="992">
        <f t="shared" si="182"/>
        <v>0</v>
      </c>
      <c r="R35" s="1120">
        <f t="shared" si="182"/>
        <v>0</v>
      </c>
      <c r="S35" s="1119">
        <f t="shared" ref="S35" si="183">S36+S37+S38+S39+S40</f>
        <v>0</v>
      </c>
      <c r="T35" s="992">
        <f t="shared" ref="T35:U35" si="184">T36+T37+T38+T39+T40</f>
        <v>3</v>
      </c>
      <c r="U35" s="1120">
        <f t="shared" si="184"/>
        <v>1</v>
      </c>
      <c r="V35" s="1119">
        <f t="shared" ref="V35" si="185">V36+V37+V38+V39+V40</f>
        <v>0</v>
      </c>
      <c r="W35" s="992">
        <f t="shared" ref="W35:X35" si="186">W36+W37+W38+W39+W40</f>
        <v>0</v>
      </c>
      <c r="X35" s="1120">
        <f t="shared" si="186"/>
        <v>0</v>
      </c>
      <c r="Y35" s="1119">
        <f t="shared" ref="Y35" si="187">Y36+Y37+Y38+Y39+Y40</f>
        <v>0</v>
      </c>
      <c r="Z35" s="992">
        <f t="shared" ref="Z35:BZ35" si="188">Z36+Z37+Z38+Z39+Z40</f>
        <v>0</v>
      </c>
      <c r="AA35" s="1120">
        <f t="shared" si="188"/>
        <v>0</v>
      </c>
      <c r="AB35" s="1119">
        <f t="shared" si="188"/>
        <v>0</v>
      </c>
      <c r="AC35" s="992">
        <f t="shared" si="188"/>
        <v>0</v>
      </c>
      <c r="AD35" s="1120">
        <f t="shared" si="188"/>
        <v>4</v>
      </c>
      <c r="AE35" s="1119">
        <f t="shared" si="188"/>
        <v>0.5</v>
      </c>
      <c r="AF35" s="992" t="s">
        <v>890</v>
      </c>
      <c r="AG35" s="1120">
        <f t="shared" si="188"/>
        <v>0.5</v>
      </c>
      <c r="AH35" s="1119">
        <f t="shared" si="188"/>
        <v>56</v>
      </c>
      <c r="AI35" s="992">
        <f t="shared" si="188"/>
        <v>162</v>
      </c>
      <c r="AJ35" s="1120">
        <f t="shared" si="188"/>
        <v>23</v>
      </c>
      <c r="AK35" s="1119">
        <f t="shared" si="188"/>
        <v>211</v>
      </c>
      <c r="AL35" s="992">
        <f t="shared" si="188"/>
        <v>80</v>
      </c>
      <c r="AM35" s="1120">
        <f t="shared" si="188"/>
        <v>80</v>
      </c>
      <c r="AN35" s="1119">
        <f t="shared" si="188"/>
        <v>5</v>
      </c>
      <c r="AO35" s="992" t="s">
        <v>890</v>
      </c>
      <c r="AP35" s="1120" t="s">
        <v>890</v>
      </c>
      <c r="AQ35" s="1119">
        <f t="shared" si="188"/>
        <v>211</v>
      </c>
      <c r="AR35" s="992" t="s">
        <v>890</v>
      </c>
      <c r="AS35" s="1120">
        <f t="shared" si="188"/>
        <v>0</v>
      </c>
      <c r="AT35" s="1119">
        <f t="shared" si="188"/>
        <v>29</v>
      </c>
      <c r="AU35" s="992">
        <f t="shared" si="188"/>
        <v>0</v>
      </c>
      <c r="AV35" s="1120">
        <f t="shared" si="188"/>
        <v>25</v>
      </c>
      <c r="AW35" s="1119">
        <f t="shared" si="188"/>
        <v>5</v>
      </c>
      <c r="AX35" s="992">
        <f t="shared" si="188"/>
        <v>0</v>
      </c>
      <c r="AY35" s="1120">
        <f t="shared" si="188"/>
        <v>3</v>
      </c>
      <c r="AZ35" s="1119">
        <f t="shared" si="188"/>
        <v>42</v>
      </c>
      <c r="BA35" s="992">
        <f t="shared" si="188"/>
        <v>0</v>
      </c>
      <c r="BB35" s="1120">
        <f t="shared" si="188"/>
        <v>45</v>
      </c>
      <c r="BC35" s="1135">
        <f t="shared" si="188"/>
        <v>2.5</v>
      </c>
      <c r="BD35" s="992">
        <f t="shared" si="188"/>
        <v>0</v>
      </c>
      <c r="BE35" s="992">
        <f t="shared" si="188"/>
        <v>0</v>
      </c>
      <c r="BF35" s="1119">
        <f t="shared" si="188"/>
        <v>5</v>
      </c>
      <c r="BG35" s="992">
        <f t="shared" si="188"/>
        <v>0</v>
      </c>
      <c r="BH35" s="1120">
        <f t="shared" si="188"/>
        <v>5</v>
      </c>
      <c r="BI35" s="1119">
        <f t="shared" si="188"/>
        <v>0</v>
      </c>
      <c r="BJ35" s="992">
        <f t="shared" si="188"/>
        <v>2</v>
      </c>
      <c r="BK35" s="1120">
        <f t="shared" si="188"/>
        <v>0</v>
      </c>
      <c r="BL35" s="1119">
        <f t="shared" si="188"/>
        <v>0</v>
      </c>
      <c r="BM35" s="992">
        <f t="shared" si="188"/>
        <v>0</v>
      </c>
      <c r="BN35" s="1120">
        <f t="shared" si="188"/>
        <v>0</v>
      </c>
      <c r="BO35" s="1119">
        <f t="shared" si="188"/>
        <v>0</v>
      </c>
      <c r="BP35" s="992">
        <f t="shared" si="188"/>
        <v>0</v>
      </c>
      <c r="BQ35" s="1120">
        <f t="shared" si="188"/>
        <v>0</v>
      </c>
      <c r="BR35" s="1119">
        <f t="shared" si="188"/>
        <v>0</v>
      </c>
      <c r="BS35" s="992">
        <f t="shared" si="188"/>
        <v>1</v>
      </c>
      <c r="BT35" s="1120">
        <f t="shared" si="188"/>
        <v>0</v>
      </c>
      <c r="BU35" s="1119">
        <f t="shared" si="188"/>
        <v>5</v>
      </c>
      <c r="BV35" s="992">
        <f t="shared" si="188"/>
        <v>0</v>
      </c>
      <c r="BW35" s="1120">
        <f t="shared" si="188"/>
        <v>3</v>
      </c>
      <c r="BX35" s="1125">
        <f t="shared" si="188"/>
        <v>0.1</v>
      </c>
      <c r="BY35" s="1107">
        <f t="shared" si="188"/>
        <v>7.5</v>
      </c>
      <c r="BZ35" s="1120">
        <f t="shared" si="188"/>
        <v>0</v>
      </c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576"/>
      <c r="CZ35" s="576"/>
      <c r="DA35" s="576"/>
      <c r="DB35" s="576"/>
      <c r="DC35" s="576"/>
      <c r="DD35" s="576"/>
    </row>
    <row r="36" spans="1:108" ht="15.75">
      <c r="A36" s="836">
        <v>20</v>
      </c>
      <c r="B36" s="859" t="s">
        <v>622</v>
      </c>
      <c r="C36" s="1117">
        <f>'проект числ-сть'!L35</f>
        <v>418</v>
      </c>
      <c r="D36" s="1121">
        <f t="shared" si="36"/>
        <v>42</v>
      </c>
      <c r="E36" s="1100"/>
      <c r="F36" s="1122">
        <v>40</v>
      </c>
      <c r="G36" s="1121">
        <f t="shared" si="18"/>
        <v>75</v>
      </c>
      <c r="H36" s="1100">
        <v>120</v>
      </c>
      <c r="I36" s="1122"/>
      <c r="J36" s="1124"/>
      <c r="K36" s="1100"/>
      <c r="L36" s="1122"/>
      <c r="M36" s="1124"/>
      <c r="N36" s="1100"/>
      <c r="O36" s="1122"/>
      <c r="P36" s="1124"/>
      <c r="Q36" s="1100"/>
      <c r="R36" s="1122"/>
      <c r="S36" s="1124"/>
      <c r="T36" s="1100">
        <v>1</v>
      </c>
      <c r="U36" s="1122"/>
      <c r="V36" s="1124"/>
      <c r="W36" s="1100"/>
      <c r="X36" s="1122"/>
      <c r="Y36" s="1124"/>
      <c r="Z36" s="1100"/>
      <c r="AA36" s="1122"/>
      <c r="AB36" s="1124"/>
      <c r="AC36" s="1100"/>
      <c r="AD36" s="1122">
        <v>1</v>
      </c>
      <c r="AE36" s="1124">
        <f t="shared" si="37"/>
        <v>0.3</v>
      </c>
      <c r="AF36" s="1100"/>
      <c r="AG36" s="1122">
        <f t="shared" si="38"/>
        <v>0.3</v>
      </c>
      <c r="AH36" s="1124">
        <f t="shared" si="39"/>
        <v>33</v>
      </c>
      <c r="AI36" s="1100">
        <v>162</v>
      </c>
      <c r="AJ36" s="1122">
        <f t="shared" si="40"/>
        <v>0</v>
      </c>
      <c r="AK36" s="1124">
        <f t="shared" si="41"/>
        <v>125</v>
      </c>
      <c r="AL36" s="1100">
        <v>80</v>
      </c>
      <c r="AM36" s="1122">
        <v>50</v>
      </c>
      <c r="AN36" s="1124">
        <f t="shared" si="42"/>
        <v>3</v>
      </c>
      <c r="AO36" s="1100" t="s">
        <v>890</v>
      </c>
      <c r="AP36" s="1122" t="s">
        <v>890</v>
      </c>
      <c r="AQ36" s="1124">
        <f t="shared" si="44"/>
        <v>125</v>
      </c>
      <c r="AR36" s="1100"/>
      <c r="AS36" s="1122"/>
      <c r="AT36" s="1124">
        <f t="shared" si="45"/>
        <v>17</v>
      </c>
      <c r="AU36" s="1100"/>
      <c r="AV36" s="1122">
        <v>25</v>
      </c>
      <c r="AW36" s="1124">
        <f t="shared" si="46"/>
        <v>3</v>
      </c>
      <c r="AX36" s="1100"/>
      <c r="AY36" s="1122">
        <v>3</v>
      </c>
      <c r="AZ36" s="1124">
        <f t="shared" si="47"/>
        <v>25</v>
      </c>
      <c r="BA36" s="1100"/>
      <c r="BB36" s="1122">
        <v>45</v>
      </c>
      <c r="BC36" s="1136">
        <f t="shared" si="48"/>
        <v>1.5</v>
      </c>
      <c r="BD36" s="1130"/>
      <c r="BE36" s="1130"/>
      <c r="BF36" s="1124">
        <f t="shared" si="49"/>
        <v>3</v>
      </c>
      <c r="BG36" s="1100"/>
      <c r="BH36" s="1122">
        <v>5</v>
      </c>
      <c r="BI36" s="1124"/>
      <c r="BJ36" s="1100">
        <v>1</v>
      </c>
      <c r="BK36" s="1122"/>
      <c r="BL36" s="1124"/>
      <c r="BM36" s="1100"/>
      <c r="BN36" s="1122"/>
      <c r="BO36" s="1124"/>
      <c r="BP36" s="1100"/>
      <c r="BQ36" s="1122"/>
      <c r="BR36" s="1124"/>
      <c r="BS36" s="1100">
        <v>1</v>
      </c>
      <c r="BT36" s="1122"/>
      <c r="BU36" s="1124">
        <f t="shared" si="50"/>
        <v>3</v>
      </c>
      <c r="BV36" s="1100"/>
      <c r="BW36" s="1122">
        <v>3</v>
      </c>
      <c r="BX36" s="1126">
        <f t="shared" si="51"/>
        <v>0.1</v>
      </c>
      <c r="BY36" s="1108">
        <v>7.5</v>
      </c>
      <c r="BZ36" s="1122">
        <f t="shared" si="52"/>
        <v>0</v>
      </c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</row>
    <row r="37" spans="1:108" ht="15.75">
      <c r="A37" s="836">
        <v>21</v>
      </c>
      <c r="B37" s="859" t="s">
        <v>704</v>
      </c>
      <c r="C37" s="1117">
        <f>'проект числ-сть'!L36</f>
        <v>84</v>
      </c>
      <c r="D37" s="1121">
        <f t="shared" si="36"/>
        <v>8</v>
      </c>
      <c r="E37" s="1100"/>
      <c r="F37" s="1122"/>
      <c r="G37" s="1121">
        <f t="shared" si="18"/>
        <v>15</v>
      </c>
      <c r="H37" s="1100"/>
      <c r="I37" s="1122"/>
      <c r="J37" s="1124"/>
      <c r="K37" s="1100"/>
      <c r="L37" s="1122"/>
      <c r="M37" s="1124"/>
      <c r="N37" s="1100"/>
      <c r="O37" s="1122"/>
      <c r="P37" s="1124"/>
      <c r="Q37" s="1100"/>
      <c r="R37" s="1122"/>
      <c r="S37" s="1124"/>
      <c r="T37" s="1100">
        <v>1</v>
      </c>
      <c r="U37" s="1122"/>
      <c r="V37" s="1124"/>
      <c r="W37" s="1100"/>
      <c r="X37" s="1122"/>
      <c r="Y37" s="1124"/>
      <c r="Z37" s="1100"/>
      <c r="AA37" s="1122"/>
      <c r="AB37" s="1124"/>
      <c r="AC37" s="1100"/>
      <c r="AD37" s="1122">
        <v>1</v>
      </c>
      <c r="AE37" s="1124">
        <f t="shared" si="37"/>
        <v>0.1</v>
      </c>
      <c r="AF37" s="1100"/>
      <c r="AG37" s="1122">
        <f t="shared" si="38"/>
        <v>0.1</v>
      </c>
      <c r="AH37" s="1124">
        <f t="shared" si="39"/>
        <v>7</v>
      </c>
      <c r="AI37" s="1100"/>
      <c r="AJ37" s="1122">
        <f t="shared" si="40"/>
        <v>7</v>
      </c>
      <c r="AK37" s="1124">
        <f t="shared" si="41"/>
        <v>25</v>
      </c>
      <c r="AL37" s="1100">
        <v>0</v>
      </c>
      <c r="AM37" s="1122"/>
      <c r="AN37" s="1124">
        <f t="shared" si="42"/>
        <v>1</v>
      </c>
      <c r="AO37" s="1100">
        <v>0</v>
      </c>
      <c r="AP37" s="1122">
        <f t="shared" si="43"/>
        <v>1</v>
      </c>
      <c r="AQ37" s="1124">
        <f t="shared" si="44"/>
        <v>25</v>
      </c>
      <c r="AR37" s="1100"/>
      <c r="AS37" s="1122"/>
      <c r="AT37" s="1124">
        <f t="shared" si="45"/>
        <v>3</v>
      </c>
      <c r="AU37" s="1100"/>
      <c r="AV37" s="1122"/>
      <c r="AW37" s="1124">
        <f t="shared" si="46"/>
        <v>1</v>
      </c>
      <c r="AX37" s="1100"/>
      <c r="AY37" s="1122"/>
      <c r="AZ37" s="1124">
        <f t="shared" si="47"/>
        <v>5</v>
      </c>
      <c r="BA37" s="1100"/>
      <c r="BB37" s="1122"/>
      <c r="BC37" s="1136">
        <f t="shared" si="48"/>
        <v>0.3</v>
      </c>
      <c r="BD37" s="1130"/>
      <c r="BE37" s="1130"/>
      <c r="BF37" s="1124">
        <f t="shared" si="49"/>
        <v>1</v>
      </c>
      <c r="BG37" s="1100"/>
      <c r="BH37" s="1122"/>
      <c r="BI37" s="1124"/>
      <c r="BJ37" s="1100">
        <v>1</v>
      </c>
      <c r="BK37" s="1122"/>
      <c r="BL37" s="1124"/>
      <c r="BM37" s="1100"/>
      <c r="BN37" s="1122"/>
      <c r="BO37" s="1124"/>
      <c r="BP37" s="1100"/>
      <c r="BQ37" s="1122"/>
      <c r="BR37" s="1124"/>
      <c r="BS37" s="1100"/>
      <c r="BT37" s="1122"/>
      <c r="BU37" s="1124">
        <f t="shared" si="50"/>
        <v>1</v>
      </c>
      <c r="BV37" s="1100"/>
      <c r="BW37" s="1122"/>
      <c r="BX37" s="1126">
        <f t="shared" si="51"/>
        <v>0</v>
      </c>
      <c r="BY37" s="1108"/>
      <c r="BZ37" s="1122">
        <f t="shared" si="52"/>
        <v>0</v>
      </c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</row>
    <row r="38" spans="1:108" ht="15.75">
      <c r="A38" s="836">
        <v>22</v>
      </c>
      <c r="B38" s="859" t="s">
        <v>705</v>
      </c>
      <c r="C38" s="1117">
        <f>'проект числ-сть'!L37</f>
        <v>67</v>
      </c>
      <c r="D38" s="1121">
        <f t="shared" si="36"/>
        <v>7</v>
      </c>
      <c r="E38" s="1100"/>
      <c r="F38" s="1122"/>
      <c r="G38" s="1121">
        <f t="shared" si="18"/>
        <v>12</v>
      </c>
      <c r="H38" s="1100"/>
      <c r="I38" s="1122"/>
      <c r="J38" s="1124"/>
      <c r="K38" s="1100"/>
      <c r="L38" s="1122"/>
      <c r="M38" s="1124"/>
      <c r="N38" s="1100"/>
      <c r="O38" s="1122"/>
      <c r="P38" s="1124"/>
      <c r="Q38" s="1100"/>
      <c r="R38" s="1122"/>
      <c r="S38" s="1124"/>
      <c r="T38" s="1100">
        <v>1</v>
      </c>
      <c r="U38" s="1122"/>
      <c r="V38" s="1124"/>
      <c r="W38" s="1100"/>
      <c r="X38" s="1122"/>
      <c r="Y38" s="1124"/>
      <c r="Z38" s="1100"/>
      <c r="AA38" s="1122"/>
      <c r="AB38" s="1124"/>
      <c r="AC38" s="1100"/>
      <c r="AD38" s="1122">
        <v>1</v>
      </c>
      <c r="AE38" s="1124">
        <f t="shared" si="37"/>
        <v>0</v>
      </c>
      <c r="AF38" s="1100"/>
      <c r="AG38" s="1122">
        <f t="shared" si="38"/>
        <v>0</v>
      </c>
      <c r="AH38" s="1124">
        <f t="shared" si="39"/>
        <v>5</v>
      </c>
      <c r="AI38" s="1100"/>
      <c r="AJ38" s="1122">
        <f t="shared" si="40"/>
        <v>5</v>
      </c>
      <c r="AK38" s="1124">
        <f t="shared" si="41"/>
        <v>20</v>
      </c>
      <c r="AL38" s="1100"/>
      <c r="AM38" s="1122"/>
      <c r="AN38" s="1124">
        <f t="shared" si="42"/>
        <v>0</v>
      </c>
      <c r="AO38" s="1100" t="s">
        <v>890</v>
      </c>
      <c r="AP38" s="1122" t="s">
        <v>890</v>
      </c>
      <c r="AQ38" s="1124">
        <f t="shared" si="44"/>
        <v>20</v>
      </c>
      <c r="AR38" s="1100"/>
      <c r="AS38" s="1122"/>
      <c r="AT38" s="1124">
        <f t="shared" si="45"/>
        <v>3</v>
      </c>
      <c r="AU38" s="1100"/>
      <c r="AV38" s="1122"/>
      <c r="AW38" s="1124">
        <f t="shared" si="46"/>
        <v>0</v>
      </c>
      <c r="AX38" s="1100"/>
      <c r="AY38" s="1122"/>
      <c r="AZ38" s="1124">
        <f t="shared" si="47"/>
        <v>4</v>
      </c>
      <c r="BA38" s="1100"/>
      <c r="BB38" s="1122"/>
      <c r="BC38" s="1136">
        <f t="shared" si="48"/>
        <v>0.2</v>
      </c>
      <c r="BD38" s="1130"/>
      <c r="BE38" s="1130"/>
      <c r="BF38" s="1124">
        <f t="shared" si="49"/>
        <v>0</v>
      </c>
      <c r="BG38" s="1100"/>
      <c r="BH38" s="1122"/>
      <c r="BI38" s="1124"/>
      <c r="BJ38" s="1100"/>
      <c r="BK38" s="1122"/>
      <c r="BL38" s="1124"/>
      <c r="BM38" s="1100"/>
      <c r="BN38" s="1122"/>
      <c r="BO38" s="1124"/>
      <c r="BP38" s="1100"/>
      <c r="BQ38" s="1122"/>
      <c r="BR38" s="1124"/>
      <c r="BS38" s="1100"/>
      <c r="BT38" s="1122"/>
      <c r="BU38" s="1124">
        <f t="shared" si="50"/>
        <v>0</v>
      </c>
      <c r="BV38" s="1100"/>
      <c r="BW38" s="1122"/>
      <c r="BX38" s="1126">
        <f t="shared" si="51"/>
        <v>0</v>
      </c>
      <c r="BY38" s="1108"/>
      <c r="BZ38" s="1122">
        <f t="shared" si="52"/>
        <v>0</v>
      </c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</row>
    <row r="39" spans="1:108" s="98" customFormat="1" ht="15.75">
      <c r="A39" s="836">
        <v>23</v>
      </c>
      <c r="B39" s="859" t="s">
        <v>706</v>
      </c>
      <c r="C39" s="1117">
        <f>'проект числ-сть'!L38</f>
        <v>15</v>
      </c>
      <c r="D39" s="1121">
        <f t="shared" si="36"/>
        <v>2</v>
      </c>
      <c r="E39" s="1100"/>
      <c r="F39" s="1122"/>
      <c r="G39" s="1121">
        <f t="shared" si="18"/>
        <v>3</v>
      </c>
      <c r="H39" s="1100"/>
      <c r="I39" s="1122"/>
      <c r="J39" s="1124"/>
      <c r="K39" s="1100"/>
      <c r="L39" s="1122"/>
      <c r="M39" s="1124"/>
      <c r="N39" s="1100"/>
      <c r="O39" s="1122"/>
      <c r="P39" s="1124"/>
      <c r="Q39" s="1100"/>
      <c r="R39" s="1122"/>
      <c r="S39" s="1124"/>
      <c r="T39" s="1100"/>
      <c r="U39" s="1122"/>
      <c r="V39" s="1124"/>
      <c r="W39" s="1100"/>
      <c r="X39" s="1122"/>
      <c r="Y39" s="1124"/>
      <c r="Z39" s="1100"/>
      <c r="AA39" s="1122"/>
      <c r="AB39" s="1124"/>
      <c r="AC39" s="1100"/>
      <c r="AD39" s="1122"/>
      <c r="AE39" s="1124">
        <f t="shared" si="37"/>
        <v>0</v>
      </c>
      <c r="AF39" s="1100"/>
      <c r="AG39" s="1122">
        <f t="shared" si="38"/>
        <v>0</v>
      </c>
      <c r="AH39" s="1124">
        <f t="shared" si="39"/>
        <v>1</v>
      </c>
      <c r="AI39" s="1100"/>
      <c r="AJ39" s="1122">
        <f t="shared" si="40"/>
        <v>1</v>
      </c>
      <c r="AK39" s="1124">
        <f t="shared" si="41"/>
        <v>5</v>
      </c>
      <c r="AL39" s="1100"/>
      <c r="AM39" s="1122"/>
      <c r="AN39" s="1124">
        <f t="shared" si="42"/>
        <v>0</v>
      </c>
      <c r="AO39" s="1100"/>
      <c r="AP39" s="1122">
        <f t="shared" si="43"/>
        <v>0</v>
      </c>
      <c r="AQ39" s="1124">
        <f t="shared" si="44"/>
        <v>5</v>
      </c>
      <c r="AR39" s="1100"/>
      <c r="AS39" s="1122"/>
      <c r="AT39" s="1124">
        <f t="shared" si="45"/>
        <v>1</v>
      </c>
      <c r="AU39" s="1100"/>
      <c r="AV39" s="1122"/>
      <c r="AW39" s="1124">
        <f t="shared" si="46"/>
        <v>0</v>
      </c>
      <c r="AX39" s="1100"/>
      <c r="AY39" s="1122"/>
      <c r="AZ39" s="1124">
        <f t="shared" si="47"/>
        <v>1</v>
      </c>
      <c r="BA39" s="1100"/>
      <c r="BB39" s="1122"/>
      <c r="BC39" s="1136">
        <f t="shared" si="48"/>
        <v>0.1</v>
      </c>
      <c r="BD39" s="1130"/>
      <c r="BE39" s="1130"/>
      <c r="BF39" s="1124">
        <f t="shared" si="49"/>
        <v>0</v>
      </c>
      <c r="BG39" s="1100"/>
      <c r="BH39" s="1122"/>
      <c r="BI39" s="1124"/>
      <c r="BJ39" s="1100"/>
      <c r="BK39" s="1122"/>
      <c r="BL39" s="1124"/>
      <c r="BM39" s="1100"/>
      <c r="BN39" s="1122"/>
      <c r="BO39" s="1124"/>
      <c r="BP39" s="1100"/>
      <c r="BQ39" s="1122"/>
      <c r="BR39" s="1124"/>
      <c r="BS39" s="1100"/>
      <c r="BT39" s="1122"/>
      <c r="BU39" s="1124">
        <f t="shared" si="50"/>
        <v>0</v>
      </c>
      <c r="BV39" s="1100"/>
      <c r="BW39" s="1122"/>
      <c r="BX39" s="1126">
        <f t="shared" si="51"/>
        <v>0</v>
      </c>
      <c r="BY39" s="1108"/>
      <c r="BZ39" s="1122">
        <f t="shared" si="52"/>
        <v>0</v>
      </c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</row>
    <row r="40" spans="1:108" ht="15.75">
      <c r="A40" s="836">
        <v>24</v>
      </c>
      <c r="B40" s="859" t="s">
        <v>707</v>
      </c>
      <c r="C40" s="1117">
        <f>'проект числ-сть'!L39</f>
        <v>120</v>
      </c>
      <c r="D40" s="1121">
        <f t="shared" si="36"/>
        <v>12</v>
      </c>
      <c r="E40" s="1100"/>
      <c r="F40" s="1122"/>
      <c r="G40" s="1121">
        <f t="shared" si="18"/>
        <v>22</v>
      </c>
      <c r="H40" s="1100"/>
      <c r="I40" s="1122"/>
      <c r="J40" s="1124"/>
      <c r="K40" s="1100"/>
      <c r="L40" s="1122"/>
      <c r="M40" s="1124"/>
      <c r="N40" s="1100"/>
      <c r="O40" s="1122"/>
      <c r="P40" s="1124"/>
      <c r="Q40" s="1100"/>
      <c r="R40" s="1122"/>
      <c r="S40" s="1124"/>
      <c r="T40" s="1100">
        <v>0</v>
      </c>
      <c r="U40" s="1122">
        <v>1</v>
      </c>
      <c r="V40" s="1124"/>
      <c r="W40" s="1100"/>
      <c r="X40" s="1122"/>
      <c r="Y40" s="1124"/>
      <c r="Z40" s="1100"/>
      <c r="AA40" s="1122"/>
      <c r="AB40" s="1124"/>
      <c r="AC40" s="1100"/>
      <c r="AD40" s="1122">
        <v>1</v>
      </c>
      <c r="AE40" s="1124">
        <f t="shared" si="37"/>
        <v>0.1</v>
      </c>
      <c r="AF40" s="1100"/>
      <c r="AG40" s="1122">
        <f t="shared" si="38"/>
        <v>0.1</v>
      </c>
      <c r="AH40" s="1124">
        <f t="shared" si="39"/>
        <v>10</v>
      </c>
      <c r="AI40" s="1100"/>
      <c r="AJ40" s="1122">
        <f t="shared" si="40"/>
        <v>10</v>
      </c>
      <c r="AK40" s="1124">
        <f t="shared" si="41"/>
        <v>36</v>
      </c>
      <c r="AL40" s="1100"/>
      <c r="AM40" s="1122">
        <v>30</v>
      </c>
      <c r="AN40" s="1124">
        <f t="shared" si="42"/>
        <v>1</v>
      </c>
      <c r="AO40" s="1100">
        <v>0</v>
      </c>
      <c r="AP40" s="1122">
        <f t="shared" si="43"/>
        <v>1</v>
      </c>
      <c r="AQ40" s="1124">
        <f t="shared" si="44"/>
        <v>36</v>
      </c>
      <c r="AR40" s="1100"/>
      <c r="AS40" s="1122"/>
      <c r="AT40" s="1124">
        <f t="shared" si="45"/>
        <v>5</v>
      </c>
      <c r="AU40" s="1100"/>
      <c r="AV40" s="1122"/>
      <c r="AW40" s="1124">
        <f t="shared" si="46"/>
        <v>1</v>
      </c>
      <c r="AX40" s="1100"/>
      <c r="AY40" s="1122"/>
      <c r="AZ40" s="1124">
        <f t="shared" si="47"/>
        <v>7</v>
      </c>
      <c r="BA40" s="1100"/>
      <c r="BB40" s="1122"/>
      <c r="BC40" s="1136">
        <f t="shared" si="48"/>
        <v>0.4</v>
      </c>
      <c r="BD40" s="1130"/>
      <c r="BE40" s="1130"/>
      <c r="BF40" s="1124">
        <f t="shared" si="49"/>
        <v>1</v>
      </c>
      <c r="BG40" s="1100"/>
      <c r="BH40" s="1122"/>
      <c r="BI40" s="1124"/>
      <c r="BJ40" s="1100"/>
      <c r="BK40" s="1122"/>
      <c r="BL40" s="1124"/>
      <c r="BM40" s="1100"/>
      <c r="BN40" s="1122"/>
      <c r="BO40" s="1124"/>
      <c r="BP40" s="1100"/>
      <c r="BQ40" s="1122"/>
      <c r="BR40" s="1124"/>
      <c r="BS40" s="1100"/>
      <c r="BT40" s="1122"/>
      <c r="BU40" s="1124">
        <f t="shared" si="50"/>
        <v>1</v>
      </c>
      <c r="BV40" s="1100"/>
      <c r="BW40" s="1122"/>
      <c r="BX40" s="1126">
        <f t="shared" si="51"/>
        <v>0</v>
      </c>
      <c r="BY40" s="1108"/>
      <c r="BZ40" s="1122">
        <f t="shared" si="52"/>
        <v>0</v>
      </c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</row>
    <row r="41" spans="1:108" s="98" customFormat="1" ht="15.75">
      <c r="A41" s="990"/>
      <c r="B41" s="991" t="s">
        <v>283</v>
      </c>
      <c r="C41" s="1116">
        <f>'проект числ-сть'!L40</f>
        <v>884</v>
      </c>
      <c r="D41" s="1119">
        <f>D42+D43+D44+D45</f>
        <v>89</v>
      </c>
      <c r="E41" s="992">
        <f t="shared" ref="E41:F41" si="189">E42+E43+E44+E45</f>
        <v>0</v>
      </c>
      <c r="F41" s="1120">
        <f t="shared" si="189"/>
        <v>70</v>
      </c>
      <c r="G41" s="1119">
        <f t="shared" ref="G41" si="190">G42+G43+G44+G45</f>
        <v>159</v>
      </c>
      <c r="H41" s="992">
        <f t="shared" ref="H41:I41" si="191">H42+H43+H44+H45</f>
        <v>280</v>
      </c>
      <c r="I41" s="1120">
        <f t="shared" si="191"/>
        <v>0</v>
      </c>
      <c r="J41" s="1119">
        <f t="shared" ref="J41" si="192">J42+J43+J44+J45</f>
        <v>0</v>
      </c>
      <c r="K41" s="992">
        <f t="shared" ref="K41:L41" si="193">K42+K43+K44+K45</f>
        <v>0</v>
      </c>
      <c r="L41" s="1120">
        <f t="shared" si="193"/>
        <v>0</v>
      </c>
      <c r="M41" s="1119">
        <f t="shared" ref="M41" si="194">M42+M43+M44+M45</f>
        <v>0</v>
      </c>
      <c r="N41" s="992">
        <f t="shared" ref="N41:R41" si="195">N42+N43+N44+N45</f>
        <v>0</v>
      </c>
      <c r="O41" s="1120">
        <f t="shared" si="195"/>
        <v>0</v>
      </c>
      <c r="P41" s="1119">
        <f t="shared" si="195"/>
        <v>0</v>
      </c>
      <c r="Q41" s="992">
        <f t="shared" si="195"/>
        <v>0</v>
      </c>
      <c r="R41" s="1120">
        <f t="shared" si="195"/>
        <v>0</v>
      </c>
      <c r="S41" s="1119">
        <f t="shared" ref="S41" si="196">S42+S43+S44+S45</f>
        <v>0</v>
      </c>
      <c r="T41" s="992">
        <f t="shared" ref="T41:U41" si="197">T42+T43+T44+T45</f>
        <v>2</v>
      </c>
      <c r="U41" s="1120">
        <f t="shared" si="197"/>
        <v>0</v>
      </c>
      <c r="V41" s="1119">
        <f t="shared" ref="V41" si="198">V42+V43+V44+V45</f>
        <v>0</v>
      </c>
      <c r="W41" s="992">
        <f t="shared" ref="W41:X41" si="199">W42+W43+W44+W45</f>
        <v>0</v>
      </c>
      <c r="X41" s="1120">
        <f t="shared" si="199"/>
        <v>26</v>
      </c>
      <c r="Y41" s="1119">
        <f t="shared" ref="Y41:BZ41" si="200">Y42+Y43+Y44+Y45</f>
        <v>0</v>
      </c>
      <c r="Z41" s="992">
        <f t="shared" si="200"/>
        <v>0</v>
      </c>
      <c r="AA41" s="1120">
        <f t="shared" si="200"/>
        <v>0</v>
      </c>
      <c r="AB41" s="1119">
        <f t="shared" si="200"/>
        <v>0</v>
      </c>
      <c r="AC41" s="992">
        <f t="shared" si="200"/>
        <v>0</v>
      </c>
      <c r="AD41" s="1120">
        <f t="shared" si="200"/>
        <v>2</v>
      </c>
      <c r="AE41" s="1119">
        <f t="shared" si="200"/>
        <v>0.60000000000000009</v>
      </c>
      <c r="AF41" s="992" t="s">
        <v>890</v>
      </c>
      <c r="AG41" s="1120">
        <f t="shared" si="200"/>
        <v>0.60000000000000009</v>
      </c>
      <c r="AH41" s="1119">
        <f t="shared" si="200"/>
        <v>71</v>
      </c>
      <c r="AI41" s="992">
        <f t="shared" si="200"/>
        <v>49.5</v>
      </c>
      <c r="AJ41" s="1120">
        <f t="shared" si="200"/>
        <v>51</v>
      </c>
      <c r="AK41" s="1119">
        <f t="shared" si="200"/>
        <v>265</v>
      </c>
      <c r="AL41" s="992">
        <f t="shared" si="200"/>
        <v>300</v>
      </c>
      <c r="AM41" s="1120">
        <f t="shared" si="200"/>
        <v>60</v>
      </c>
      <c r="AN41" s="1119">
        <f t="shared" si="200"/>
        <v>4</v>
      </c>
      <c r="AO41" s="992">
        <f t="shared" si="200"/>
        <v>12</v>
      </c>
      <c r="AP41" s="1120">
        <f t="shared" si="200"/>
        <v>1</v>
      </c>
      <c r="AQ41" s="1119">
        <f t="shared" si="200"/>
        <v>265</v>
      </c>
      <c r="AR41" s="992" t="s">
        <v>890</v>
      </c>
      <c r="AS41" s="1120">
        <f t="shared" si="200"/>
        <v>13</v>
      </c>
      <c r="AT41" s="1119">
        <f t="shared" si="200"/>
        <v>35</v>
      </c>
      <c r="AU41" s="992">
        <f t="shared" si="200"/>
        <v>0</v>
      </c>
      <c r="AV41" s="1120">
        <f t="shared" si="200"/>
        <v>30</v>
      </c>
      <c r="AW41" s="1119">
        <f t="shared" si="200"/>
        <v>6</v>
      </c>
      <c r="AX41" s="992">
        <f t="shared" si="200"/>
        <v>0</v>
      </c>
      <c r="AY41" s="1120">
        <f t="shared" si="200"/>
        <v>3</v>
      </c>
      <c r="AZ41" s="1119">
        <f t="shared" si="200"/>
        <v>54</v>
      </c>
      <c r="BA41" s="992">
        <f t="shared" si="200"/>
        <v>0</v>
      </c>
      <c r="BB41" s="1120">
        <f t="shared" si="200"/>
        <v>0</v>
      </c>
      <c r="BC41" s="1135">
        <f t="shared" si="200"/>
        <v>3.1</v>
      </c>
      <c r="BD41" s="992">
        <f t="shared" si="200"/>
        <v>0</v>
      </c>
      <c r="BE41" s="992">
        <f t="shared" si="200"/>
        <v>0</v>
      </c>
      <c r="BF41" s="1119">
        <f t="shared" si="200"/>
        <v>6</v>
      </c>
      <c r="BG41" s="992">
        <f t="shared" si="200"/>
        <v>0</v>
      </c>
      <c r="BH41" s="1120">
        <f t="shared" si="200"/>
        <v>6</v>
      </c>
      <c r="BI41" s="1119">
        <f t="shared" si="200"/>
        <v>0</v>
      </c>
      <c r="BJ41" s="992">
        <f t="shared" si="200"/>
        <v>0</v>
      </c>
      <c r="BK41" s="1120">
        <f t="shared" si="200"/>
        <v>1</v>
      </c>
      <c r="BL41" s="1119">
        <f t="shared" si="200"/>
        <v>0</v>
      </c>
      <c r="BM41" s="992">
        <f t="shared" si="200"/>
        <v>0</v>
      </c>
      <c r="BN41" s="1120">
        <f t="shared" si="200"/>
        <v>0</v>
      </c>
      <c r="BO41" s="1119">
        <f t="shared" si="200"/>
        <v>0</v>
      </c>
      <c r="BP41" s="992">
        <f t="shared" si="200"/>
        <v>1</v>
      </c>
      <c r="BQ41" s="1120">
        <f t="shared" si="200"/>
        <v>0</v>
      </c>
      <c r="BR41" s="1119">
        <f t="shared" si="200"/>
        <v>0</v>
      </c>
      <c r="BS41" s="992">
        <f t="shared" si="200"/>
        <v>0</v>
      </c>
      <c r="BT41" s="1120">
        <f t="shared" si="200"/>
        <v>1</v>
      </c>
      <c r="BU41" s="1119">
        <f t="shared" si="200"/>
        <v>4</v>
      </c>
      <c r="BV41" s="992">
        <f t="shared" si="200"/>
        <v>0</v>
      </c>
      <c r="BW41" s="1120">
        <f t="shared" si="200"/>
        <v>4</v>
      </c>
      <c r="BX41" s="1125">
        <f t="shared" si="200"/>
        <v>0.2</v>
      </c>
      <c r="BY41" s="1107">
        <f t="shared" si="200"/>
        <v>10</v>
      </c>
      <c r="BZ41" s="1120">
        <f t="shared" si="200"/>
        <v>0.1</v>
      </c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576"/>
      <c r="CZ41" s="576"/>
      <c r="DA41" s="576"/>
      <c r="DB41" s="576"/>
      <c r="DC41" s="576"/>
      <c r="DD41" s="576"/>
    </row>
    <row r="42" spans="1:108" s="98" customFormat="1" ht="15.75">
      <c r="A42" s="836">
        <v>25</v>
      </c>
      <c r="B42" s="859" t="s">
        <v>607</v>
      </c>
      <c r="C42" s="1117">
        <f>'проект числ-сть'!L41</f>
        <v>576</v>
      </c>
      <c r="D42" s="1121">
        <f t="shared" si="36"/>
        <v>58</v>
      </c>
      <c r="E42" s="1100"/>
      <c r="F42" s="1122">
        <v>50</v>
      </c>
      <c r="G42" s="1121">
        <f t="shared" si="18"/>
        <v>104</v>
      </c>
      <c r="H42" s="1100">
        <v>130</v>
      </c>
      <c r="I42" s="1122"/>
      <c r="J42" s="1124"/>
      <c r="K42" s="1100"/>
      <c r="L42" s="1122"/>
      <c r="M42" s="1124"/>
      <c r="N42" s="1100"/>
      <c r="O42" s="1122"/>
      <c r="P42" s="1124"/>
      <c r="Q42" s="1100"/>
      <c r="R42" s="1122"/>
      <c r="S42" s="1124"/>
      <c r="T42" s="1100">
        <v>1</v>
      </c>
      <c r="U42" s="1122"/>
      <c r="V42" s="1124"/>
      <c r="W42" s="1100"/>
      <c r="X42" s="1122">
        <v>26</v>
      </c>
      <c r="Y42" s="1124"/>
      <c r="Z42" s="1100"/>
      <c r="AA42" s="1122"/>
      <c r="AB42" s="1124"/>
      <c r="AC42" s="1100"/>
      <c r="AD42" s="1122">
        <v>1</v>
      </c>
      <c r="AE42" s="1124">
        <f t="shared" si="37"/>
        <v>0.4</v>
      </c>
      <c r="AF42" s="1100"/>
      <c r="AG42" s="1122">
        <f t="shared" si="38"/>
        <v>0.4</v>
      </c>
      <c r="AH42" s="1124">
        <f t="shared" si="39"/>
        <v>46</v>
      </c>
      <c r="AI42" s="1100"/>
      <c r="AJ42" s="1122">
        <f t="shared" si="40"/>
        <v>46</v>
      </c>
      <c r="AK42" s="1124">
        <f t="shared" si="41"/>
        <v>173</v>
      </c>
      <c r="AL42" s="1100">
        <v>300</v>
      </c>
      <c r="AM42" s="1122"/>
      <c r="AN42" s="1124">
        <f t="shared" si="42"/>
        <v>3</v>
      </c>
      <c r="AO42" s="1100">
        <v>12</v>
      </c>
      <c r="AP42" s="1122">
        <f t="shared" si="43"/>
        <v>0</v>
      </c>
      <c r="AQ42" s="1124">
        <f t="shared" si="44"/>
        <v>173</v>
      </c>
      <c r="AR42" s="1100"/>
      <c r="AS42" s="1122"/>
      <c r="AT42" s="1124">
        <f t="shared" si="45"/>
        <v>23</v>
      </c>
      <c r="AU42" s="1100"/>
      <c r="AV42" s="1122">
        <v>30</v>
      </c>
      <c r="AW42" s="1124">
        <f t="shared" si="46"/>
        <v>4</v>
      </c>
      <c r="AX42" s="1100"/>
      <c r="AY42" s="1122">
        <v>3</v>
      </c>
      <c r="AZ42" s="1124">
        <f t="shared" si="47"/>
        <v>35</v>
      </c>
      <c r="BA42" s="1100"/>
      <c r="BB42" s="1122"/>
      <c r="BC42" s="1136">
        <f t="shared" si="48"/>
        <v>2</v>
      </c>
      <c r="BD42" s="1130"/>
      <c r="BE42" s="1130"/>
      <c r="BF42" s="1124">
        <f t="shared" si="49"/>
        <v>4</v>
      </c>
      <c r="BG42" s="1100"/>
      <c r="BH42" s="1122">
        <v>6</v>
      </c>
      <c r="BI42" s="1124"/>
      <c r="BJ42" s="1100">
        <v>0</v>
      </c>
      <c r="BK42" s="1122">
        <v>1</v>
      </c>
      <c r="BL42" s="1124"/>
      <c r="BM42" s="1100"/>
      <c r="BN42" s="1122"/>
      <c r="BO42" s="1124"/>
      <c r="BP42" s="1100">
        <v>1</v>
      </c>
      <c r="BQ42" s="1122"/>
      <c r="BR42" s="1124"/>
      <c r="BS42" s="1100">
        <v>0</v>
      </c>
      <c r="BT42" s="1122">
        <v>1</v>
      </c>
      <c r="BU42" s="1124">
        <f t="shared" si="50"/>
        <v>3</v>
      </c>
      <c r="BV42" s="1100"/>
      <c r="BW42" s="1122">
        <v>4</v>
      </c>
      <c r="BX42" s="1126">
        <f t="shared" si="51"/>
        <v>0.1</v>
      </c>
      <c r="BY42" s="1108">
        <v>10</v>
      </c>
      <c r="BZ42" s="1122">
        <f t="shared" si="52"/>
        <v>0</v>
      </c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</row>
    <row r="43" spans="1:108" ht="15.75">
      <c r="A43" s="836">
        <v>26</v>
      </c>
      <c r="B43" s="859" t="s">
        <v>708</v>
      </c>
      <c r="C43" s="1117">
        <f>'проект числ-сть'!L42</f>
        <v>247</v>
      </c>
      <c r="D43" s="1121">
        <f t="shared" si="36"/>
        <v>25</v>
      </c>
      <c r="E43" s="1100"/>
      <c r="F43" s="1122">
        <v>20</v>
      </c>
      <c r="G43" s="1121">
        <f t="shared" si="18"/>
        <v>44</v>
      </c>
      <c r="H43" s="1100">
        <v>150</v>
      </c>
      <c r="I43" s="1122"/>
      <c r="J43" s="1124"/>
      <c r="K43" s="1100"/>
      <c r="L43" s="1122"/>
      <c r="M43" s="1124"/>
      <c r="N43" s="1100"/>
      <c r="O43" s="1122"/>
      <c r="P43" s="1124"/>
      <c r="Q43" s="1100"/>
      <c r="R43" s="1122"/>
      <c r="S43" s="1124"/>
      <c r="T43" s="1100">
        <v>1</v>
      </c>
      <c r="U43" s="1122"/>
      <c r="V43" s="1124"/>
      <c r="W43" s="1100"/>
      <c r="X43" s="1122"/>
      <c r="Y43" s="1124"/>
      <c r="Z43" s="1100"/>
      <c r="AA43" s="1122"/>
      <c r="AB43" s="1124"/>
      <c r="AC43" s="1100"/>
      <c r="AD43" s="1122">
        <v>1</v>
      </c>
      <c r="AE43" s="1124">
        <f t="shared" si="37"/>
        <v>0.2</v>
      </c>
      <c r="AF43" s="1100"/>
      <c r="AG43" s="1122">
        <f t="shared" si="38"/>
        <v>0.2</v>
      </c>
      <c r="AH43" s="1124">
        <f t="shared" si="39"/>
        <v>20</v>
      </c>
      <c r="AI43" s="1100">
        <v>49.5</v>
      </c>
      <c r="AJ43" s="1122">
        <f t="shared" si="40"/>
        <v>0</v>
      </c>
      <c r="AK43" s="1124">
        <f t="shared" si="41"/>
        <v>74</v>
      </c>
      <c r="AL43" s="1100"/>
      <c r="AM43" s="1122">
        <v>60</v>
      </c>
      <c r="AN43" s="1124">
        <f t="shared" si="42"/>
        <v>1</v>
      </c>
      <c r="AO43" s="1100"/>
      <c r="AP43" s="1122">
        <f t="shared" si="43"/>
        <v>1</v>
      </c>
      <c r="AQ43" s="1124">
        <f t="shared" si="44"/>
        <v>74</v>
      </c>
      <c r="AR43" s="1100"/>
      <c r="AS43" s="1122"/>
      <c r="AT43" s="1124">
        <f t="shared" si="45"/>
        <v>10</v>
      </c>
      <c r="AU43" s="1100"/>
      <c r="AV43" s="1122"/>
      <c r="AW43" s="1124">
        <f t="shared" si="46"/>
        <v>2</v>
      </c>
      <c r="AX43" s="1100"/>
      <c r="AY43" s="1122"/>
      <c r="AZ43" s="1124">
        <f t="shared" si="47"/>
        <v>15</v>
      </c>
      <c r="BA43" s="1100"/>
      <c r="BB43" s="1122"/>
      <c r="BC43" s="1136">
        <f t="shared" si="48"/>
        <v>0.9</v>
      </c>
      <c r="BD43" s="1130"/>
      <c r="BE43" s="1130"/>
      <c r="BF43" s="1124">
        <f t="shared" si="49"/>
        <v>2</v>
      </c>
      <c r="BG43" s="1100"/>
      <c r="BH43" s="1122"/>
      <c r="BI43" s="1124"/>
      <c r="BJ43" s="1100"/>
      <c r="BK43" s="1122"/>
      <c r="BL43" s="1124"/>
      <c r="BM43" s="1100"/>
      <c r="BN43" s="1122"/>
      <c r="BO43" s="1124"/>
      <c r="BP43" s="1100"/>
      <c r="BQ43" s="1122"/>
      <c r="BR43" s="1124"/>
      <c r="BS43" s="1100"/>
      <c r="BT43" s="1122"/>
      <c r="BU43" s="1124">
        <f t="shared" si="50"/>
        <v>1</v>
      </c>
      <c r="BV43" s="1100"/>
      <c r="BW43" s="1122"/>
      <c r="BX43" s="1126">
        <f t="shared" si="51"/>
        <v>0.1</v>
      </c>
      <c r="BY43" s="1108"/>
      <c r="BZ43" s="1122">
        <f t="shared" si="52"/>
        <v>0.1</v>
      </c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</row>
    <row r="44" spans="1:108" ht="15.75">
      <c r="A44" s="836">
        <v>27</v>
      </c>
      <c r="B44" s="859" t="s">
        <v>709</v>
      </c>
      <c r="C44" s="1117">
        <f>'проект числ-сть'!L43</f>
        <v>61</v>
      </c>
      <c r="D44" s="1121">
        <f t="shared" si="36"/>
        <v>6</v>
      </c>
      <c r="E44" s="1100"/>
      <c r="F44" s="1122"/>
      <c r="G44" s="1121">
        <f t="shared" si="18"/>
        <v>11</v>
      </c>
      <c r="H44" s="1100"/>
      <c r="I44" s="1122"/>
      <c r="J44" s="1124"/>
      <c r="K44" s="1100"/>
      <c r="L44" s="1122"/>
      <c r="M44" s="1124"/>
      <c r="N44" s="1100"/>
      <c r="O44" s="1122"/>
      <c r="P44" s="1124"/>
      <c r="Q44" s="1100"/>
      <c r="R44" s="1122"/>
      <c r="S44" s="1124"/>
      <c r="T44" s="1100"/>
      <c r="U44" s="1122"/>
      <c r="V44" s="1124"/>
      <c r="W44" s="1100"/>
      <c r="X44" s="1122"/>
      <c r="Y44" s="1124"/>
      <c r="Z44" s="1100"/>
      <c r="AA44" s="1122"/>
      <c r="AB44" s="1124"/>
      <c r="AC44" s="1100"/>
      <c r="AD44" s="1122"/>
      <c r="AE44" s="1124">
        <f t="shared" si="37"/>
        <v>0</v>
      </c>
      <c r="AF44" s="1100"/>
      <c r="AG44" s="1122">
        <f t="shared" si="38"/>
        <v>0</v>
      </c>
      <c r="AH44" s="1124">
        <f t="shared" si="39"/>
        <v>5</v>
      </c>
      <c r="AI44" s="1100"/>
      <c r="AJ44" s="1122">
        <f t="shared" si="40"/>
        <v>5</v>
      </c>
      <c r="AK44" s="1124">
        <f t="shared" si="41"/>
        <v>18</v>
      </c>
      <c r="AL44" s="1100">
        <v>0</v>
      </c>
      <c r="AM44" s="1122"/>
      <c r="AN44" s="1124">
        <f t="shared" si="42"/>
        <v>0</v>
      </c>
      <c r="AO44" s="1100"/>
      <c r="AP44" s="1122">
        <f t="shared" si="43"/>
        <v>0</v>
      </c>
      <c r="AQ44" s="1124">
        <f t="shared" si="44"/>
        <v>18</v>
      </c>
      <c r="AR44" s="1100"/>
      <c r="AS44" s="1122">
        <v>13</v>
      </c>
      <c r="AT44" s="1124">
        <f t="shared" si="45"/>
        <v>2</v>
      </c>
      <c r="AU44" s="1100"/>
      <c r="AV44" s="1122"/>
      <c r="AW44" s="1124">
        <f t="shared" si="46"/>
        <v>0</v>
      </c>
      <c r="AX44" s="1100"/>
      <c r="AY44" s="1122"/>
      <c r="AZ44" s="1124">
        <f t="shared" si="47"/>
        <v>4</v>
      </c>
      <c r="BA44" s="1100"/>
      <c r="BB44" s="1122"/>
      <c r="BC44" s="1136">
        <f t="shared" si="48"/>
        <v>0.2</v>
      </c>
      <c r="BD44" s="1130"/>
      <c r="BE44" s="1130"/>
      <c r="BF44" s="1124">
        <f t="shared" si="49"/>
        <v>0</v>
      </c>
      <c r="BG44" s="1100"/>
      <c r="BH44" s="1122"/>
      <c r="BI44" s="1124"/>
      <c r="BJ44" s="1100"/>
      <c r="BK44" s="1122"/>
      <c r="BL44" s="1124"/>
      <c r="BM44" s="1100"/>
      <c r="BN44" s="1122"/>
      <c r="BO44" s="1124"/>
      <c r="BP44" s="1100"/>
      <c r="BQ44" s="1122"/>
      <c r="BR44" s="1124"/>
      <c r="BS44" s="1100"/>
      <c r="BT44" s="1122"/>
      <c r="BU44" s="1124">
        <f t="shared" si="50"/>
        <v>0</v>
      </c>
      <c r="BV44" s="1100"/>
      <c r="BW44" s="1122"/>
      <c r="BX44" s="1126">
        <f t="shared" si="51"/>
        <v>0</v>
      </c>
      <c r="BY44" s="1108"/>
      <c r="BZ44" s="1122">
        <f t="shared" si="52"/>
        <v>0</v>
      </c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</row>
    <row r="45" spans="1:108" s="98" customFormat="1" ht="15.75">
      <c r="A45" s="836">
        <v>28</v>
      </c>
      <c r="B45" s="859" t="s">
        <v>710</v>
      </c>
      <c r="C45" s="1117">
        <f>'проект числ-сть'!L44</f>
        <v>0</v>
      </c>
      <c r="D45" s="1121">
        <f t="shared" si="36"/>
        <v>0</v>
      </c>
      <c r="E45" s="1100"/>
      <c r="F45" s="1122"/>
      <c r="G45" s="1121">
        <f t="shared" si="18"/>
        <v>0</v>
      </c>
      <c r="H45" s="1100"/>
      <c r="I45" s="1122"/>
      <c r="J45" s="1124"/>
      <c r="K45" s="1100"/>
      <c r="L45" s="1122"/>
      <c r="M45" s="1124"/>
      <c r="N45" s="1100"/>
      <c r="O45" s="1122"/>
      <c r="P45" s="1124"/>
      <c r="Q45" s="1100"/>
      <c r="R45" s="1122"/>
      <c r="S45" s="1124"/>
      <c r="T45" s="1100"/>
      <c r="U45" s="1122"/>
      <c r="V45" s="1124"/>
      <c r="W45" s="1100"/>
      <c r="X45" s="1122"/>
      <c r="Y45" s="1124"/>
      <c r="Z45" s="1100"/>
      <c r="AA45" s="1122"/>
      <c r="AB45" s="1124"/>
      <c r="AC45" s="1100"/>
      <c r="AD45" s="1122"/>
      <c r="AE45" s="1124">
        <f t="shared" si="37"/>
        <v>0</v>
      </c>
      <c r="AF45" s="1100"/>
      <c r="AG45" s="1122">
        <f t="shared" si="38"/>
        <v>0</v>
      </c>
      <c r="AH45" s="1124">
        <f t="shared" si="39"/>
        <v>0</v>
      </c>
      <c r="AI45" s="1100"/>
      <c r="AJ45" s="1122">
        <f t="shared" si="40"/>
        <v>0</v>
      </c>
      <c r="AK45" s="1124">
        <f t="shared" si="41"/>
        <v>0</v>
      </c>
      <c r="AL45" s="1100"/>
      <c r="AM45" s="1122"/>
      <c r="AN45" s="1124">
        <f t="shared" si="42"/>
        <v>0</v>
      </c>
      <c r="AO45" s="1100"/>
      <c r="AP45" s="1122">
        <f t="shared" si="43"/>
        <v>0</v>
      </c>
      <c r="AQ45" s="1124">
        <f t="shared" si="44"/>
        <v>0</v>
      </c>
      <c r="AR45" s="1100"/>
      <c r="AS45" s="1122"/>
      <c r="AT45" s="1124">
        <f t="shared" si="45"/>
        <v>0</v>
      </c>
      <c r="AU45" s="1100"/>
      <c r="AV45" s="1122"/>
      <c r="AW45" s="1124">
        <f t="shared" si="46"/>
        <v>0</v>
      </c>
      <c r="AX45" s="1100"/>
      <c r="AY45" s="1122"/>
      <c r="AZ45" s="1124">
        <f t="shared" si="47"/>
        <v>0</v>
      </c>
      <c r="BA45" s="1100"/>
      <c r="BB45" s="1122"/>
      <c r="BC45" s="1136">
        <f t="shared" si="48"/>
        <v>0</v>
      </c>
      <c r="BD45" s="1130"/>
      <c r="BE45" s="1130"/>
      <c r="BF45" s="1124">
        <f t="shared" si="49"/>
        <v>0</v>
      </c>
      <c r="BG45" s="1100"/>
      <c r="BH45" s="1122"/>
      <c r="BI45" s="1124"/>
      <c r="BJ45" s="1100"/>
      <c r="BK45" s="1122"/>
      <c r="BL45" s="1124"/>
      <c r="BM45" s="1100"/>
      <c r="BN45" s="1122"/>
      <c r="BO45" s="1124"/>
      <c r="BP45" s="1100"/>
      <c r="BQ45" s="1122"/>
      <c r="BR45" s="1124"/>
      <c r="BS45" s="1100"/>
      <c r="BT45" s="1122"/>
      <c r="BU45" s="1124">
        <f t="shared" si="50"/>
        <v>0</v>
      </c>
      <c r="BV45" s="1100"/>
      <c r="BW45" s="1122"/>
      <c r="BX45" s="1126">
        <f t="shared" si="51"/>
        <v>0</v>
      </c>
      <c r="BY45" s="1108"/>
      <c r="BZ45" s="1122">
        <f t="shared" si="52"/>
        <v>0</v>
      </c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</row>
    <row r="46" spans="1:108" s="1000" customFormat="1" ht="15.75" customHeight="1">
      <c r="A46" s="990"/>
      <c r="B46" s="991" t="s">
        <v>288</v>
      </c>
      <c r="C46" s="1116">
        <f>'проект числ-сть'!L45</f>
        <v>883</v>
      </c>
      <c r="D46" s="1119">
        <f>D47+D48+D49</f>
        <v>89</v>
      </c>
      <c r="E46" s="992">
        <f t="shared" ref="E46:F46" si="201">E47+E48+E49</f>
        <v>20</v>
      </c>
      <c r="F46" s="1120">
        <f t="shared" si="201"/>
        <v>55</v>
      </c>
      <c r="G46" s="1119">
        <f t="shared" ref="G46" si="202">G47+G48+G49</f>
        <v>159</v>
      </c>
      <c r="H46" s="992">
        <f t="shared" ref="H46:I46" si="203">H47+H48+H49</f>
        <v>324</v>
      </c>
      <c r="I46" s="1120">
        <f t="shared" si="203"/>
        <v>0</v>
      </c>
      <c r="J46" s="1119">
        <f t="shared" ref="J46" si="204">J47+J48+J49</f>
        <v>0</v>
      </c>
      <c r="K46" s="992">
        <f t="shared" ref="K46:L46" si="205">K47+K48+K49</f>
        <v>0</v>
      </c>
      <c r="L46" s="1120">
        <f t="shared" si="205"/>
        <v>0</v>
      </c>
      <c r="M46" s="1119">
        <f t="shared" ref="M46" si="206">M47+M48+M49</f>
        <v>0</v>
      </c>
      <c r="N46" s="992">
        <f t="shared" ref="N46:BZ46" si="207">N47+N48+N49</f>
        <v>50</v>
      </c>
      <c r="O46" s="1120">
        <f t="shared" si="207"/>
        <v>0</v>
      </c>
      <c r="P46" s="1119">
        <f t="shared" si="207"/>
        <v>0</v>
      </c>
      <c r="Q46" s="992">
        <f t="shared" si="207"/>
        <v>0</v>
      </c>
      <c r="R46" s="1120">
        <f t="shared" si="207"/>
        <v>0</v>
      </c>
      <c r="S46" s="1119">
        <f t="shared" si="207"/>
        <v>0</v>
      </c>
      <c r="T46" s="992">
        <f t="shared" si="207"/>
        <v>1</v>
      </c>
      <c r="U46" s="1120">
        <f t="shared" si="207"/>
        <v>0</v>
      </c>
      <c r="V46" s="1119">
        <f t="shared" si="207"/>
        <v>0</v>
      </c>
      <c r="W46" s="992">
        <f t="shared" si="207"/>
        <v>0</v>
      </c>
      <c r="X46" s="1120">
        <f t="shared" si="207"/>
        <v>0</v>
      </c>
      <c r="Y46" s="1119">
        <f t="shared" si="207"/>
        <v>0</v>
      </c>
      <c r="Z46" s="992">
        <f t="shared" si="207"/>
        <v>0</v>
      </c>
      <c r="AA46" s="1120">
        <f t="shared" si="207"/>
        <v>0</v>
      </c>
      <c r="AB46" s="1119">
        <f t="shared" si="207"/>
        <v>0</v>
      </c>
      <c r="AC46" s="992">
        <f t="shared" si="207"/>
        <v>1</v>
      </c>
      <c r="AD46" s="1120">
        <f t="shared" si="207"/>
        <v>1</v>
      </c>
      <c r="AE46" s="1119">
        <f t="shared" si="207"/>
        <v>0.6</v>
      </c>
      <c r="AF46" s="992" t="s">
        <v>890</v>
      </c>
      <c r="AG46" s="1120">
        <f t="shared" si="207"/>
        <v>0.6</v>
      </c>
      <c r="AH46" s="1119">
        <f t="shared" si="207"/>
        <v>71</v>
      </c>
      <c r="AI46" s="992">
        <f t="shared" si="207"/>
        <v>288</v>
      </c>
      <c r="AJ46" s="1120">
        <f t="shared" si="207"/>
        <v>16</v>
      </c>
      <c r="AK46" s="1119">
        <f t="shared" si="207"/>
        <v>265</v>
      </c>
      <c r="AL46" s="992">
        <f t="shared" si="207"/>
        <v>290</v>
      </c>
      <c r="AM46" s="1120">
        <f t="shared" si="207"/>
        <v>0</v>
      </c>
      <c r="AN46" s="1119">
        <f t="shared" si="207"/>
        <v>5</v>
      </c>
      <c r="AO46" s="992" t="s">
        <v>890</v>
      </c>
      <c r="AP46" s="1120" t="s">
        <v>890</v>
      </c>
      <c r="AQ46" s="1119">
        <f t="shared" si="207"/>
        <v>265</v>
      </c>
      <c r="AR46" s="992" t="s">
        <v>890</v>
      </c>
      <c r="AS46" s="1120">
        <f t="shared" si="207"/>
        <v>12</v>
      </c>
      <c r="AT46" s="1119">
        <f t="shared" si="207"/>
        <v>35</v>
      </c>
      <c r="AU46" s="992">
        <f t="shared" si="207"/>
        <v>0</v>
      </c>
      <c r="AV46" s="1120">
        <f t="shared" si="207"/>
        <v>30</v>
      </c>
      <c r="AW46" s="1119">
        <f t="shared" si="207"/>
        <v>6</v>
      </c>
      <c r="AX46" s="992">
        <f t="shared" si="207"/>
        <v>0</v>
      </c>
      <c r="AY46" s="1120">
        <f t="shared" si="207"/>
        <v>5</v>
      </c>
      <c r="AZ46" s="1119">
        <f t="shared" si="207"/>
        <v>53</v>
      </c>
      <c r="BA46" s="992">
        <f t="shared" si="207"/>
        <v>0</v>
      </c>
      <c r="BB46" s="1120">
        <f t="shared" si="207"/>
        <v>0</v>
      </c>
      <c r="BC46" s="1135">
        <f t="shared" si="207"/>
        <v>3.1</v>
      </c>
      <c r="BD46" s="992">
        <f t="shared" si="207"/>
        <v>0</v>
      </c>
      <c r="BE46" s="992">
        <f t="shared" si="207"/>
        <v>0</v>
      </c>
      <c r="BF46" s="1119">
        <f t="shared" si="207"/>
        <v>6</v>
      </c>
      <c r="BG46" s="992">
        <f t="shared" si="207"/>
        <v>0</v>
      </c>
      <c r="BH46" s="1120">
        <f t="shared" si="207"/>
        <v>6</v>
      </c>
      <c r="BI46" s="1119">
        <f t="shared" si="207"/>
        <v>0</v>
      </c>
      <c r="BJ46" s="992">
        <f t="shared" si="207"/>
        <v>0</v>
      </c>
      <c r="BK46" s="1120">
        <f t="shared" si="207"/>
        <v>0</v>
      </c>
      <c r="BL46" s="1119">
        <f t="shared" si="207"/>
        <v>0</v>
      </c>
      <c r="BM46" s="992">
        <f t="shared" si="207"/>
        <v>1</v>
      </c>
      <c r="BN46" s="1120">
        <f t="shared" si="207"/>
        <v>0</v>
      </c>
      <c r="BO46" s="1119">
        <f t="shared" si="207"/>
        <v>0</v>
      </c>
      <c r="BP46" s="992">
        <f t="shared" si="207"/>
        <v>1</v>
      </c>
      <c r="BQ46" s="1120">
        <f t="shared" si="207"/>
        <v>0</v>
      </c>
      <c r="BR46" s="1119">
        <f t="shared" si="207"/>
        <v>0</v>
      </c>
      <c r="BS46" s="992">
        <f t="shared" si="207"/>
        <v>0</v>
      </c>
      <c r="BT46" s="1120">
        <f t="shared" si="207"/>
        <v>1</v>
      </c>
      <c r="BU46" s="1119">
        <f t="shared" si="207"/>
        <v>5</v>
      </c>
      <c r="BV46" s="992">
        <f t="shared" si="207"/>
        <v>0</v>
      </c>
      <c r="BW46" s="1120">
        <f t="shared" si="207"/>
        <v>4</v>
      </c>
      <c r="BX46" s="1125">
        <f t="shared" si="207"/>
        <v>0.2</v>
      </c>
      <c r="BY46" s="1107">
        <f t="shared" si="207"/>
        <v>5.66</v>
      </c>
      <c r="BZ46" s="1120">
        <f t="shared" si="207"/>
        <v>0</v>
      </c>
      <c r="CA46" s="178"/>
      <c r="CB46" s="178"/>
      <c r="CC46" s="178"/>
      <c r="CD46" s="178"/>
      <c r="CE46" s="178"/>
      <c r="CF46" s="178"/>
      <c r="CG46" s="178"/>
      <c r="CH46" s="178"/>
      <c r="CI46" s="178"/>
      <c r="CJ46" s="178"/>
      <c r="CK46" s="178"/>
      <c r="CL46" s="178"/>
      <c r="CM46" s="178"/>
      <c r="CN46" s="178"/>
      <c r="CO46" s="178"/>
      <c r="CP46" s="178"/>
      <c r="CQ46" s="178"/>
      <c r="CR46" s="178"/>
      <c r="CS46" s="178"/>
      <c r="CT46" s="178"/>
      <c r="CU46" s="178"/>
      <c r="CV46" s="178"/>
      <c r="CW46" s="178"/>
      <c r="CX46" s="178"/>
      <c r="CY46" s="999"/>
      <c r="CZ46" s="999"/>
      <c r="DA46" s="999"/>
      <c r="DB46" s="999"/>
      <c r="DC46" s="999"/>
      <c r="DD46" s="999"/>
    </row>
    <row r="47" spans="1:108" ht="15.75">
      <c r="A47" s="836">
        <v>29</v>
      </c>
      <c r="B47" s="859" t="s">
        <v>623</v>
      </c>
      <c r="C47" s="1117">
        <f>'проект числ-сть'!L46</f>
        <v>687</v>
      </c>
      <c r="D47" s="1121">
        <f t="shared" si="36"/>
        <v>69</v>
      </c>
      <c r="E47" s="1100">
        <v>20</v>
      </c>
      <c r="F47" s="1122">
        <v>40</v>
      </c>
      <c r="G47" s="1121">
        <f t="shared" si="18"/>
        <v>124</v>
      </c>
      <c r="H47" s="1100">
        <v>324</v>
      </c>
      <c r="I47" s="1122"/>
      <c r="J47" s="1124"/>
      <c r="K47" s="1100"/>
      <c r="L47" s="1122"/>
      <c r="M47" s="1124"/>
      <c r="N47" s="1100">
        <v>50</v>
      </c>
      <c r="O47" s="1122"/>
      <c r="P47" s="1124"/>
      <c r="Q47" s="1100"/>
      <c r="R47" s="1122"/>
      <c r="S47" s="1124"/>
      <c r="T47" s="1100"/>
      <c r="U47" s="1122"/>
      <c r="V47" s="1124"/>
      <c r="W47" s="1100"/>
      <c r="X47" s="1122"/>
      <c r="Y47" s="1124"/>
      <c r="Z47" s="1100"/>
      <c r="AA47" s="1122"/>
      <c r="AB47" s="1124"/>
      <c r="AC47" s="1100">
        <v>1</v>
      </c>
      <c r="AD47" s="1122"/>
      <c r="AE47" s="1124">
        <f t="shared" si="37"/>
        <v>0.5</v>
      </c>
      <c r="AF47" s="1100"/>
      <c r="AG47" s="1122">
        <f t="shared" si="38"/>
        <v>0.5</v>
      </c>
      <c r="AH47" s="1124">
        <f t="shared" si="39"/>
        <v>55</v>
      </c>
      <c r="AI47" s="1100">
        <v>288</v>
      </c>
      <c r="AJ47" s="1122">
        <f t="shared" si="40"/>
        <v>0</v>
      </c>
      <c r="AK47" s="1124">
        <f t="shared" si="41"/>
        <v>206</v>
      </c>
      <c r="AL47" s="1100">
        <v>250</v>
      </c>
      <c r="AM47" s="1122"/>
      <c r="AN47" s="1124">
        <f t="shared" si="42"/>
        <v>4</v>
      </c>
      <c r="AO47" s="1100">
        <v>25</v>
      </c>
      <c r="AP47" s="1122">
        <f t="shared" si="43"/>
        <v>0</v>
      </c>
      <c r="AQ47" s="1124">
        <f t="shared" si="44"/>
        <v>206</v>
      </c>
      <c r="AR47" s="1100"/>
      <c r="AS47" s="1122"/>
      <c r="AT47" s="1124">
        <f t="shared" si="45"/>
        <v>27</v>
      </c>
      <c r="AU47" s="1100"/>
      <c r="AV47" s="1122">
        <v>30</v>
      </c>
      <c r="AW47" s="1124">
        <f t="shared" si="46"/>
        <v>5</v>
      </c>
      <c r="AX47" s="1100"/>
      <c r="AY47" s="1122">
        <v>5</v>
      </c>
      <c r="AZ47" s="1124">
        <f t="shared" si="47"/>
        <v>41</v>
      </c>
      <c r="BA47" s="1100"/>
      <c r="BB47" s="1122"/>
      <c r="BC47" s="1136">
        <f t="shared" si="48"/>
        <v>2.4</v>
      </c>
      <c r="BD47" s="1130"/>
      <c r="BE47" s="1130"/>
      <c r="BF47" s="1124">
        <f t="shared" si="49"/>
        <v>5</v>
      </c>
      <c r="BG47" s="1100"/>
      <c r="BH47" s="1122">
        <v>6</v>
      </c>
      <c r="BI47" s="1124"/>
      <c r="BJ47" s="1100"/>
      <c r="BK47" s="1122"/>
      <c r="BL47" s="1124"/>
      <c r="BM47" s="1100">
        <v>1</v>
      </c>
      <c r="BN47" s="1122"/>
      <c r="BO47" s="1124"/>
      <c r="BP47" s="1100">
        <v>1</v>
      </c>
      <c r="BQ47" s="1122"/>
      <c r="BR47" s="1124"/>
      <c r="BS47" s="1100">
        <v>0</v>
      </c>
      <c r="BT47" s="1122">
        <v>1</v>
      </c>
      <c r="BU47" s="1124">
        <f t="shared" si="50"/>
        <v>4</v>
      </c>
      <c r="BV47" s="1100"/>
      <c r="BW47" s="1122">
        <v>4</v>
      </c>
      <c r="BX47" s="1126">
        <f t="shared" si="51"/>
        <v>0.2</v>
      </c>
      <c r="BY47" s="1106">
        <v>5.66</v>
      </c>
      <c r="BZ47" s="1122">
        <f t="shared" si="52"/>
        <v>0</v>
      </c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</row>
    <row r="48" spans="1:108" ht="15.75">
      <c r="A48" s="836">
        <v>30</v>
      </c>
      <c r="B48" s="859" t="s">
        <v>711</v>
      </c>
      <c r="C48" s="1117">
        <f>'проект числ-сть'!L47</f>
        <v>50</v>
      </c>
      <c r="D48" s="1121">
        <f t="shared" si="36"/>
        <v>5</v>
      </c>
      <c r="E48" s="1100"/>
      <c r="F48" s="1122"/>
      <c r="G48" s="1121">
        <f t="shared" si="18"/>
        <v>9</v>
      </c>
      <c r="H48" s="1100"/>
      <c r="I48" s="1122"/>
      <c r="J48" s="1124"/>
      <c r="K48" s="1100"/>
      <c r="L48" s="1122"/>
      <c r="M48" s="1124"/>
      <c r="N48" s="1100"/>
      <c r="O48" s="1122"/>
      <c r="P48" s="1124"/>
      <c r="Q48" s="1100"/>
      <c r="R48" s="1122"/>
      <c r="S48" s="1124"/>
      <c r="T48" s="1100"/>
      <c r="U48" s="1122"/>
      <c r="V48" s="1124"/>
      <c r="W48" s="1100"/>
      <c r="X48" s="1122"/>
      <c r="Y48" s="1124"/>
      <c r="Z48" s="1100"/>
      <c r="AA48" s="1122"/>
      <c r="AB48" s="1124"/>
      <c r="AC48" s="1100"/>
      <c r="AD48" s="1122"/>
      <c r="AE48" s="1124">
        <f t="shared" si="37"/>
        <v>0</v>
      </c>
      <c r="AF48" s="1100"/>
      <c r="AG48" s="1122">
        <f t="shared" si="38"/>
        <v>0</v>
      </c>
      <c r="AH48" s="1124">
        <f t="shared" si="39"/>
        <v>4</v>
      </c>
      <c r="AI48" s="1100"/>
      <c r="AJ48" s="1122">
        <f t="shared" si="40"/>
        <v>4</v>
      </c>
      <c r="AK48" s="1124">
        <f t="shared" si="41"/>
        <v>15</v>
      </c>
      <c r="AL48" s="1100"/>
      <c r="AM48" s="1122"/>
      <c r="AN48" s="1124">
        <f t="shared" si="42"/>
        <v>0</v>
      </c>
      <c r="AO48" s="1100"/>
      <c r="AP48" s="1122">
        <f t="shared" si="43"/>
        <v>0</v>
      </c>
      <c r="AQ48" s="1124">
        <f t="shared" si="44"/>
        <v>15</v>
      </c>
      <c r="AR48" s="1100"/>
      <c r="AS48" s="1122">
        <v>12</v>
      </c>
      <c r="AT48" s="1124">
        <f t="shared" si="45"/>
        <v>2</v>
      </c>
      <c r="AU48" s="1100"/>
      <c r="AV48" s="1122"/>
      <c r="AW48" s="1124">
        <f t="shared" si="46"/>
        <v>0</v>
      </c>
      <c r="AX48" s="1100"/>
      <c r="AY48" s="1122"/>
      <c r="AZ48" s="1124">
        <f t="shared" si="47"/>
        <v>3</v>
      </c>
      <c r="BA48" s="1100"/>
      <c r="BB48" s="1122"/>
      <c r="BC48" s="1136">
        <f t="shared" si="48"/>
        <v>0.2</v>
      </c>
      <c r="BD48" s="1130"/>
      <c r="BE48" s="1130"/>
      <c r="BF48" s="1124">
        <f t="shared" si="49"/>
        <v>0</v>
      </c>
      <c r="BG48" s="1100"/>
      <c r="BH48" s="1122"/>
      <c r="BI48" s="1124"/>
      <c r="BJ48" s="1100"/>
      <c r="BK48" s="1122"/>
      <c r="BL48" s="1124"/>
      <c r="BM48" s="1100"/>
      <c r="BN48" s="1122"/>
      <c r="BO48" s="1124"/>
      <c r="BP48" s="1100"/>
      <c r="BQ48" s="1122"/>
      <c r="BR48" s="1124"/>
      <c r="BS48" s="1100"/>
      <c r="BT48" s="1122"/>
      <c r="BU48" s="1124">
        <f t="shared" si="50"/>
        <v>0</v>
      </c>
      <c r="BV48" s="1100"/>
      <c r="BW48" s="1122"/>
      <c r="BX48" s="1126">
        <f t="shared" si="51"/>
        <v>0</v>
      </c>
      <c r="BY48" s="1108"/>
      <c r="BZ48" s="1122">
        <f t="shared" si="52"/>
        <v>0</v>
      </c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</row>
    <row r="49" spans="1:108" ht="15.75">
      <c r="A49" s="836">
        <v>31</v>
      </c>
      <c r="B49" s="859" t="s">
        <v>712</v>
      </c>
      <c r="C49" s="1117">
        <f>'проект числ-сть'!L48</f>
        <v>146</v>
      </c>
      <c r="D49" s="1121">
        <f t="shared" si="36"/>
        <v>15</v>
      </c>
      <c r="E49" s="1100"/>
      <c r="F49" s="1122">
        <v>15</v>
      </c>
      <c r="G49" s="1121">
        <f t="shared" si="18"/>
        <v>26</v>
      </c>
      <c r="H49" s="1100"/>
      <c r="I49" s="1122"/>
      <c r="J49" s="1124"/>
      <c r="K49" s="1100"/>
      <c r="L49" s="1122"/>
      <c r="M49" s="1124"/>
      <c r="N49" s="1100"/>
      <c r="O49" s="1122"/>
      <c r="P49" s="1124"/>
      <c r="Q49" s="1100"/>
      <c r="R49" s="1122"/>
      <c r="S49" s="1124"/>
      <c r="T49" s="1100">
        <v>1</v>
      </c>
      <c r="U49" s="1122"/>
      <c r="V49" s="1124"/>
      <c r="W49" s="1100"/>
      <c r="X49" s="1122"/>
      <c r="Y49" s="1124"/>
      <c r="Z49" s="1100"/>
      <c r="AA49" s="1122"/>
      <c r="AB49" s="1124"/>
      <c r="AC49" s="1100"/>
      <c r="AD49" s="1122">
        <v>1</v>
      </c>
      <c r="AE49" s="1124">
        <f t="shared" si="37"/>
        <v>0.1</v>
      </c>
      <c r="AF49" s="1100"/>
      <c r="AG49" s="1122">
        <f t="shared" si="38"/>
        <v>0.1</v>
      </c>
      <c r="AH49" s="1124">
        <f t="shared" si="39"/>
        <v>12</v>
      </c>
      <c r="AI49" s="1100"/>
      <c r="AJ49" s="1122">
        <f t="shared" si="40"/>
        <v>12</v>
      </c>
      <c r="AK49" s="1124">
        <f t="shared" si="41"/>
        <v>44</v>
      </c>
      <c r="AL49" s="1100">
        <v>40</v>
      </c>
      <c r="AM49" s="1122"/>
      <c r="AN49" s="1124">
        <f t="shared" si="42"/>
        <v>1</v>
      </c>
      <c r="AO49" s="1100" t="s">
        <v>890</v>
      </c>
      <c r="AP49" s="1122" t="s">
        <v>890</v>
      </c>
      <c r="AQ49" s="1124">
        <f t="shared" si="44"/>
        <v>44</v>
      </c>
      <c r="AR49" s="1100"/>
      <c r="AS49" s="1122"/>
      <c r="AT49" s="1124">
        <f t="shared" si="45"/>
        <v>6</v>
      </c>
      <c r="AU49" s="1100"/>
      <c r="AV49" s="1122"/>
      <c r="AW49" s="1124">
        <f t="shared" si="46"/>
        <v>1</v>
      </c>
      <c r="AX49" s="1100"/>
      <c r="AY49" s="1122"/>
      <c r="AZ49" s="1124">
        <f t="shared" si="47"/>
        <v>9</v>
      </c>
      <c r="BA49" s="1100"/>
      <c r="BB49" s="1122"/>
      <c r="BC49" s="1136">
        <f t="shared" si="48"/>
        <v>0.5</v>
      </c>
      <c r="BD49" s="1130"/>
      <c r="BE49" s="1130"/>
      <c r="BF49" s="1124">
        <f t="shared" si="49"/>
        <v>1</v>
      </c>
      <c r="BG49" s="1100"/>
      <c r="BH49" s="1122"/>
      <c r="BI49" s="1124"/>
      <c r="BJ49" s="1100"/>
      <c r="BK49" s="1122"/>
      <c r="BL49" s="1124"/>
      <c r="BM49" s="1100"/>
      <c r="BN49" s="1122"/>
      <c r="BO49" s="1124"/>
      <c r="BP49" s="1100"/>
      <c r="BQ49" s="1122"/>
      <c r="BR49" s="1124"/>
      <c r="BS49" s="1100"/>
      <c r="BT49" s="1122"/>
      <c r="BU49" s="1124">
        <f t="shared" si="50"/>
        <v>1</v>
      </c>
      <c r="BV49" s="1100"/>
      <c r="BW49" s="1122"/>
      <c r="BX49" s="1126">
        <f t="shared" si="51"/>
        <v>0</v>
      </c>
      <c r="BY49" s="1108"/>
      <c r="BZ49" s="1122">
        <f t="shared" si="52"/>
        <v>0</v>
      </c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</row>
    <row r="50" spans="1:108" s="98" customFormat="1" ht="15.75">
      <c r="A50" s="990"/>
      <c r="B50" s="991" t="s">
        <v>713</v>
      </c>
      <c r="C50" s="1116">
        <f>'проект числ-сть'!L49</f>
        <v>1089</v>
      </c>
      <c r="D50" s="1119">
        <f>D51+D52+D53+D54</f>
        <v>108</v>
      </c>
      <c r="E50" s="992">
        <f t="shared" ref="E50:F50" si="208">E51+E52+E53+E54</f>
        <v>25</v>
      </c>
      <c r="F50" s="1120">
        <f t="shared" si="208"/>
        <v>65</v>
      </c>
      <c r="G50" s="1119">
        <f t="shared" ref="G50" si="209">G51+G52+G53+G54</f>
        <v>197</v>
      </c>
      <c r="H50" s="992">
        <f t="shared" ref="H50:I50" si="210">H51+H52+H53+H54</f>
        <v>192</v>
      </c>
      <c r="I50" s="1120">
        <f t="shared" si="210"/>
        <v>0</v>
      </c>
      <c r="J50" s="1119">
        <f t="shared" ref="J50" si="211">J51+J52+J53+J54</f>
        <v>0</v>
      </c>
      <c r="K50" s="992">
        <f t="shared" ref="K50:L50" si="212">K51+K52+K53+K54</f>
        <v>0</v>
      </c>
      <c r="L50" s="1120">
        <f t="shared" si="212"/>
        <v>0</v>
      </c>
      <c r="M50" s="1119">
        <f t="shared" ref="M50" si="213">M51+M52+M53+M54</f>
        <v>0</v>
      </c>
      <c r="N50" s="992">
        <f t="shared" ref="N50:R50" si="214">N51+N52+N53+N54</f>
        <v>0</v>
      </c>
      <c r="O50" s="1120">
        <f t="shared" si="214"/>
        <v>0</v>
      </c>
      <c r="P50" s="1119">
        <f t="shared" si="214"/>
        <v>0</v>
      </c>
      <c r="Q50" s="992">
        <f t="shared" si="214"/>
        <v>0</v>
      </c>
      <c r="R50" s="1120">
        <f t="shared" si="214"/>
        <v>0</v>
      </c>
      <c r="S50" s="1119">
        <f t="shared" ref="S50" si="215">S51+S52+S53+S54</f>
        <v>0</v>
      </c>
      <c r="T50" s="992">
        <f t="shared" ref="T50:U50" si="216">T51+T52+T53+T54</f>
        <v>3</v>
      </c>
      <c r="U50" s="1120">
        <f t="shared" si="216"/>
        <v>0</v>
      </c>
      <c r="V50" s="1119">
        <f t="shared" ref="V50" si="217">V51+V52+V53+V54</f>
        <v>0</v>
      </c>
      <c r="W50" s="992">
        <f t="shared" ref="W50:X50" si="218">W51+W52+W53+W54</f>
        <v>0</v>
      </c>
      <c r="X50" s="1120">
        <f t="shared" si="218"/>
        <v>0</v>
      </c>
      <c r="Y50" s="1119">
        <f t="shared" ref="Y50" si="219">Y51+Y52+Y53+Y54</f>
        <v>0</v>
      </c>
      <c r="Z50" s="992">
        <f t="shared" ref="Z50:AA50" si="220">Z51+Z52+Z53+Z54</f>
        <v>0</v>
      </c>
      <c r="AA50" s="1120">
        <f t="shared" si="220"/>
        <v>0</v>
      </c>
      <c r="AB50" s="1119">
        <f t="shared" ref="AB50" si="221">AB51+AB52+AB53+AB54</f>
        <v>0</v>
      </c>
      <c r="AC50" s="992">
        <f t="shared" ref="AC50:BZ50" si="222">AC51+AC52+AC53+AC54</f>
        <v>0</v>
      </c>
      <c r="AD50" s="1120">
        <f t="shared" si="222"/>
        <v>3</v>
      </c>
      <c r="AE50" s="1119">
        <f t="shared" si="222"/>
        <v>0.8</v>
      </c>
      <c r="AF50" s="992">
        <f t="shared" si="222"/>
        <v>0.4</v>
      </c>
      <c r="AG50" s="1120">
        <f t="shared" si="222"/>
        <v>0.4</v>
      </c>
      <c r="AH50" s="1119">
        <f t="shared" si="222"/>
        <v>88</v>
      </c>
      <c r="AI50" s="992">
        <f t="shared" si="222"/>
        <v>135</v>
      </c>
      <c r="AJ50" s="1120">
        <f t="shared" si="222"/>
        <v>42</v>
      </c>
      <c r="AK50" s="1119">
        <f t="shared" si="222"/>
        <v>326</v>
      </c>
      <c r="AL50" s="992">
        <f t="shared" si="222"/>
        <v>185</v>
      </c>
      <c r="AM50" s="1120">
        <f t="shared" si="222"/>
        <v>120</v>
      </c>
      <c r="AN50" s="1119">
        <f t="shared" si="222"/>
        <v>6</v>
      </c>
      <c r="AO50" s="992">
        <f t="shared" si="222"/>
        <v>8</v>
      </c>
      <c r="AP50" s="1120">
        <f t="shared" si="222"/>
        <v>5</v>
      </c>
      <c r="AQ50" s="1119">
        <f t="shared" si="222"/>
        <v>326</v>
      </c>
      <c r="AR50" s="992" t="s">
        <v>890</v>
      </c>
      <c r="AS50" s="1120">
        <f t="shared" si="222"/>
        <v>184</v>
      </c>
      <c r="AT50" s="1119">
        <f t="shared" si="222"/>
        <v>44</v>
      </c>
      <c r="AU50" s="992">
        <f t="shared" si="222"/>
        <v>0</v>
      </c>
      <c r="AV50" s="1120">
        <f t="shared" si="222"/>
        <v>25</v>
      </c>
      <c r="AW50" s="1119">
        <f t="shared" si="222"/>
        <v>8</v>
      </c>
      <c r="AX50" s="992">
        <f t="shared" si="222"/>
        <v>0</v>
      </c>
      <c r="AY50" s="1120">
        <f t="shared" si="222"/>
        <v>4</v>
      </c>
      <c r="AZ50" s="1119">
        <f t="shared" si="222"/>
        <v>65</v>
      </c>
      <c r="BA50" s="992">
        <f t="shared" si="222"/>
        <v>0</v>
      </c>
      <c r="BB50" s="1120">
        <f t="shared" si="222"/>
        <v>65</v>
      </c>
      <c r="BC50" s="1135">
        <f t="shared" si="222"/>
        <v>3.8</v>
      </c>
      <c r="BD50" s="992">
        <f t="shared" si="222"/>
        <v>0</v>
      </c>
      <c r="BE50" s="992">
        <f t="shared" si="222"/>
        <v>0</v>
      </c>
      <c r="BF50" s="1119">
        <f t="shared" si="222"/>
        <v>8</v>
      </c>
      <c r="BG50" s="992">
        <f t="shared" si="222"/>
        <v>0</v>
      </c>
      <c r="BH50" s="1120">
        <f t="shared" si="222"/>
        <v>10</v>
      </c>
      <c r="BI50" s="1119">
        <f t="shared" si="222"/>
        <v>0</v>
      </c>
      <c r="BJ50" s="992">
        <f t="shared" si="222"/>
        <v>1</v>
      </c>
      <c r="BK50" s="1120">
        <f t="shared" si="222"/>
        <v>0</v>
      </c>
      <c r="BL50" s="1119">
        <f t="shared" si="222"/>
        <v>0</v>
      </c>
      <c r="BM50" s="992">
        <f t="shared" si="222"/>
        <v>0</v>
      </c>
      <c r="BN50" s="1120">
        <f t="shared" si="222"/>
        <v>0</v>
      </c>
      <c r="BO50" s="1119">
        <f t="shared" si="222"/>
        <v>0</v>
      </c>
      <c r="BP50" s="992">
        <f t="shared" si="222"/>
        <v>0</v>
      </c>
      <c r="BQ50" s="1120">
        <f t="shared" si="222"/>
        <v>0</v>
      </c>
      <c r="BR50" s="1119">
        <f t="shared" si="222"/>
        <v>0</v>
      </c>
      <c r="BS50" s="992">
        <f t="shared" si="222"/>
        <v>0</v>
      </c>
      <c r="BT50" s="1120">
        <f t="shared" si="222"/>
        <v>1</v>
      </c>
      <c r="BU50" s="1119">
        <f t="shared" si="222"/>
        <v>6</v>
      </c>
      <c r="BV50" s="992">
        <f t="shared" si="222"/>
        <v>0</v>
      </c>
      <c r="BW50" s="1120">
        <f t="shared" si="222"/>
        <v>6</v>
      </c>
      <c r="BX50" s="1125">
        <f t="shared" si="222"/>
        <v>0.30000000000000004</v>
      </c>
      <c r="BY50" s="1107">
        <f t="shared" si="222"/>
        <v>4.5</v>
      </c>
      <c r="BZ50" s="1120">
        <f t="shared" si="222"/>
        <v>0</v>
      </c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576"/>
      <c r="CZ50" s="576"/>
      <c r="DA50" s="576"/>
      <c r="DB50" s="576"/>
      <c r="DC50" s="576"/>
      <c r="DD50" s="576"/>
    </row>
    <row r="51" spans="1:108" s="9" customFormat="1" ht="15.75">
      <c r="A51" s="844">
        <v>32</v>
      </c>
      <c r="B51" s="1134" t="s">
        <v>714</v>
      </c>
      <c r="C51" s="1117">
        <f>'проект числ-сть'!L50</f>
        <v>570</v>
      </c>
      <c r="D51" s="1121">
        <f t="shared" si="36"/>
        <v>57</v>
      </c>
      <c r="E51" s="1130">
        <v>25</v>
      </c>
      <c r="F51" s="1122">
        <v>25</v>
      </c>
      <c r="G51" s="1121">
        <f t="shared" si="18"/>
        <v>103</v>
      </c>
      <c r="H51" s="1130">
        <v>192</v>
      </c>
      <c r="I51" s="1122"/>
      <c r="J51" s="1124"/>
      <c r="K51" s="1130"/>
      <c r="L51" s="1122"/>
      <c r="M51" s="1124"/>
      <c r="N51" s="1130"/>
      <c r="O51" s="1122"/>
      <c r="P51" s="1124"/>
      <c r="Q51" s="1130"/>
      <c r="R51" s="1122"/>
      <c r="S51" s="1124"/>
      <c r="T51" s="1130">
        <v>1</v>
      </c>
      <c r="U51" s="1122"/>
      <c r="V51" s="1124"/>
      <c r="W51" s="1130"/>
      <c r="X51" s="1122"/>
      <c r="Y51" s="1124"/>
      <c r="Z51" s="1130"/>
      <c r="AA51" s="1122"/>
      <c r="AB51" s="1124"/>
      <c r="AC51" s="1130"/>
      <c r="AD51" s="1122">
        <v>1</v>
      </c>
      <c r="AE51" s="1124">
        <f t="shared" si="37"/>
        <v>0.4</v>
      </c>
      <c r="AF51" s="1130">
        <v>0.4</v>
      </c>
      <c r="AG51" s="1122"/>
      <c r="AH51" s="1124">
        <f t="shared" si="39"/>
        <v>46</v>
      </c>
      <c r="AI51" s="1130">
        <v>135</v>
      </c>
      <c r="AJ51" s="1122"/>
      <c r="AK51" s="1124">
        <f t="shared" si="41"/>
        <v>171</v>
      </c>
      <c r="AL51" s="1130">
        <v>185</v>
      </c>
      <c r="AM51" s="1122"/>
      <c r="AN51" s="1124">
        <f t="shared" si="42"/>
        <v>3</v>
      </c>
      <c r="AO51" s="1130">
        <v>0</v>
      </c>
      <c r="AP51" s="1122">
        <v>3</v>
      </c>
      <c r="AQ51" s="1124">
        <f t="shared" si="44"/>
        <v>171</v>
      </c>
      <c r="AR51" s="1130"/>
      <c r="AS51" s="1122">
        <v>174</v>
      </c>
      <c r="AT51" s="1124">
        <f t="shared" si="45"/>
        <v>23</v>
      </c>
      <c r="AU51" s="1130"/>
      <c r="AV51" s="1122">
        <v>25</v>
      </c>
      <c r="AW51" s="1124">
        <f t="shared" si="46"/>
        <v>4</v>
      </c>
      <c r="AX51" s="1130"/>
      <c r="AY51" s="1122">
        <v>4</v>
      </c>
      <c r="AZ51" s="1124">
        <f t="shared" si="47"/>
        <v>34</v>
      </c>
      <c r="BA51" s="1130"/>
      <c r="BB51" s="1122">
        <v>65</v>
      </c>
      <c r="BC51" s="1136">
        <f t="shared" si="48"/>
        <v>2</v>
      </c>
      <c r="BD51" s="1130"/>
      <c r="BE51" s="1130"/>
      <c r="BF51" s="1124">
        <f t="shared" si="49"/>
        <v>4</v>
      </c>
      <c r="BG51" s="1130"/>
      <c r="BH51" s="1122">
        <v>10</v>
      </c>
      <c r="BI51" s="1124"/>
      <c r="BJ51" s="1130">
        <v>1</v>
      </c>
      <c r="BK51" s="1122"/>
      <c r="BL51" s="1124"/>
      <c r="BM51" s="1130"/>
      <c r="BN51" s="1122"/>
      <c r="BO51" s="1124"/>
      <c r="BP51" s="1130"/>
      <c r="BQ51" s="1122"/>
      <c r="BR51" s="1124"/>
      <c r="BS51" s="1130">
        <v>0</v>
      </c>
      <c r="BT51" s="1122">
        <v>1</v>
      </c>
      <c r="BU51" s="1124">
        <f t="shared" si="50"/>
        <v>3</v>
      </c>
      <c r="BV51" s="1130"/>
      <c r="BW51" s="1122">
        <v>6</v>
      </c>
      <c r="BX51" s="1126">
        <f t="shared" si="51"/>
        <v>0.1</v>
      </c>
      <c r="BY51" s="1108">
        <v>1.5</v>
      </c>
      <c r="BZ51" s="1122">
        <f t="shared" si="52"/>
        <v>0</v>
      </c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</row>
    <row r="52" spans="1:108" ht="15.75">
      <c r="A52" s="836">
        <v>33</v>
      </c>
      <c r="B52" s="859" t="s">
        <v>715</v>
      </c>
      <c r="C52" s="1117">
        <f>'проект числ-сть'!L51</f>
        <v>34</v>
      </c>
      <c r="D52" s="1121">
        <f t="shared" si="36"/>
        <v>3</v>
      </c>
      <c r="E52" s="1100"/>
      <c r="F52" s="1122"/>
      <c r="G52" s="1121">
        <f t="shared" si="18"/>
        <v>6</v>
      </c>
      <c r="H52" s="1100"/>
      <c r="I52" s="1122"/>
      <c r="J52" s="1124"/>
      <c r="K52" s="1100"/>
      <c r="L52" s="1122"/>
      <c r="M52" s="1124"/>
      <c r="N52" s="1100"/>
      <c r="O52" s="1122"/>
      <c r="P52" s="1124"/>
      <c r="Q52" s="1100"/>
      <c r="R52" s="1122"/>
      <c r="S52" s="1124"/>
      <c r="T52" s="1100"/>
      <c r="U52" s="1122"/>
      <c r="V52" s="1124"/>
      <c r="W52" s="1100"/>
      <c r="X52" s="1122"/>
      <c r="Y52" s="1124"/>
      <c r="Z52" s="1100"/>
      <c r="AA52" s="1122"/>
      <c r="AB52" s="1124"/>
      <c r="AC52" s="1100"/>
      <c r="AD52" s="1122"/>
      <c r="AE52" s="1124">
        <f t="shared" si="37"/>
        <v>0</v>
      </c>
      <c r="AF52" s="1100"/>
      <c r="AG52" s="1122">
        <f t="shared" si="38"/>
        <v>0</v>
      </c>
      <c r="AH52" s="1124">
        <f t="shared" si="39"/>
        <v>3</v>
      </c>
      <c r="AI52" s="1100"/>
      <c r="AJ52" s="1122">
        <f t="shared" si="40"/>
        <v>3</v>
      </c>
      <c r="AK52" s="1124">
        <f t="shared" si="41"/>
        <v>10</v>
      </c>
      <c r="AL52" s="1100"/>
      <c r="AM52" s="1122"/>
      <c r="AN52" s="1124">
        <f t="shared" si="42"/>
        <v>0</v>
      </c>
      <c r="AO52" s="1100"/>
      <c r="AP52" s="1122">
        <f t="shared" si="43"/>
        <v>0</v>
      </c>
      <c r="AQ52" s="1124">
        <f t="shared" si="44"/>
        <v>10</v>
      </c>
      <c r="AR52" s="1100"/>
      <c r="AS52" s="1122">
        <v>10</v>
      </c>
      <c r="AT52" s="1124">
        <f t="shared" si="45"/>
        <v>1</v>
      </c>
      <c r="AU52" s="1100"/>
      <c r="AV52" s="1122"/>
      <c r="AW52" s="1124">
        <f t="shared" si="46"/>
        <v>0</v>
      </c>
      <c r="AX52" s="1100"/>
      <c r="AY52" s="1122"/>
      <c r="AZ52" s="1124">
        <f t="shared" si="47"/>
        <v>2</v>
      </c>
      <c r="BA52" s="1100"/>
      <c r="BB52" s="1122"/>
      <c r="BC52" s="1136">
        <f t="shared" si="48"/>
        <v>0.1</v>
      </c>
      <c r="BD52" s="1130"/>
      <c r="BE52" s="1130"/>
      <c r="BF52" s="1124">
        <f t="shared" si="49"/>
        <v>0</v>
      </c>
      <c r="BG52" s="1100"/>
      <c r="BH52" s="1122"/>
      <c r="BI52" s="1124"/>
      <c r="BJ52" s="1100"/>
      <c r="BK52" s="1122"/>
      <c r="BL52" s="1124"/>
      <c r="BM52" s="1100"/>
      <c r="BN52" s="1122"/>
      <c r="BO52" s="1124"/>
      <c r="BP52" s="1100"/>
      <c r="BQ52" s="1122"/>
      <c r="BR52" s="1124"/>
      <c r="BS52" s="1100"/>
      <c r="BT52" s="1122"/>
      <c r="BU52" s="1124">
        <f t="shared" si="50"/>
        <v>0</v>
      </c>
      <c r="BV52" s="1100"/>
      <c r="BW52" s="1122"/>
      <c r="BX52" s="1126">
        <f t="shared" si="51"/>
        <v>0</v>
      </c>
      <c r="BY52" s="1108">
        <v>1</v>
      </c>
      <c r="BZ52" s="1122">
        <f t="shared" si="52"/>
        <v>0</v>
      </c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</row>
    <row r="53" spans="1:108" ht="15.75">
      <c r="A53" s="836">
        <v>34</v>
      </c>
      <c r="B53" s="859" t="s">
        <v>625</v>
      </c>
      <c r="C53" s="1117">
        <f>'проект числ-сть'!L52</f>
        <v>264</v>
      </c>
      <c r="D53" s="1121">
        <f t="shared" si="36"/>
        <v>26</v>
      </c>
      <c r="E53" s="1100"/>
      <c r="F53" s="1122">
        <v>20</v>
      </c>
      <c r="G53" s="1121">
        <f t="shared" si="18"/>
        <v>48</v>
      </c>
      <c r="H53" s="1100"/>
      <c r="I53" s="1122"/>
      <c r="J53" s="1124"/>
      <c r="K53" s="1100"/>
      <c r="L53" s="1122"/>
      <c r="M53" s="1124"/>
      <c r="N53" s="1100"/>
      <c r="O53" s="1122"/>
      <c r="P53" s="1124"/>
      <c r="Q53" s="1100"/>
      <c r="R53" s="1122"/>
      <c r="S53" s="1124"/>
      <c r="T53" s="1100">
        <v>1</v>
      </c>
      <c r="U53" s="1122"/>
      <c r="V53" s="1124"/>
      <c r="W53" s="1100"/>
      <c r="X53" s="1122"/>
      <c r="Y53" s="1124"/>
      <c r="Z53" s="1100"/>
      <c r="AA53" s="1122"/>
      <c r="AB53" s="1124"/>
      <c r="AC53" s="1100"/>
      <c r="AD53" s="1122">
        <v>1</v>
      </c>
      <c r="AE53" s="1124">
        <f t="shared" si="37"/>
        <v>0.2</v>
      </c>
      <c r="AF53" s="1100"/>
      <c r="AG53" s="1122">
        <f t="shared" si="38"/>
        <v>0.2</v>
      </c>
      <c r="AH53" s="1124">
        <f t="shared" si="39"/>
        <v>21</v>
      </c>
      <c r="AI53" s="1100"/>
      <c r="AJ53" s="1122">
        <f t="shared" si="40"/>
        <v>21</v>
      </c>
      <c r="AK53" s="1124">
        <f t="shared" si="41"/>
        <v>79</v>
      </c>
      <c r="AL53" s="1100">
        <v>0</v>
      </c>
      <c r="AM53" s="1122">
        <v>60</v>
      </c>
      <c r="AN53" s="1124">
        <f t="shared" si="42"/>
        <v>2</v>
      </c>
      <c r="AO53" s="1100">
        <v>0</v>
      </c>
      <c r="AP53" s="1122">
        <f t="shared" si="43"/>
        <v>2</v>
      </c>
      <c r="AQ53" s="1124">
        <f t="shared" si="44"/>
        <v>79</v>
      </c>
      <c r="AR53" s="1100"/>
      <c r="AS53" s="1122"/>
      <c r="AT53" s="1124">
        <f t="shared" si="45"/>
        <v>11</v>
      </c>
      <c r="AU53" s="1100"/>
      <c r="AV53" s="1122"/>
      <c r="AW53" s="1124">
        <f t="shared" si="46"/>
        <v>2</v>
      </c>
      <c r="AX53" s="1100"/>
      <c r="AY53" s="1122"/>
      <c r="AZ53" s="1124">
        <f t="shared" si="47"/>
        <v>16</v>
      </c>
      <c r="BA53" s="1100"/>
      <c r="BB53" s="1122"/>
      <c r="BC53" s="1136">
        <f t="shared" si="48"/>
        <v>0.9</v>
      </c>
      <c r="BD53" s="1130"/>
      <c r="BE53" s="1130"/>
      <c r="BF53" s="1124">
        <f t="shared" si="49"/>
        <v>2</v>
      </c>
      <c r="BG53" s="1100"/>
      <c r="BH53" s="1122"/>
      <c r="BI53" s="1124"/>
      <c r="BJ53" s="1100"/>
      <c r="BK53" s="1122"/>
      <c r="BL53" s="1124"/>
      <c r="BM53" s="1100"/>
      <c r="BN53" s="1122"/>
      <c r="BO53" s="1124"/>
      <c r="BP53" s="1100"/>
      <c r="BQ53" s="1122"/>
      <c r="BR53" s="1124"/>
      <c r="BS53" s="1100"/>
      <c r="BT53" s="1122"/>
      <c r="BU53" s="1124">
        <f t="shared" si="50"/>
        <v>2</v>
      </c>
      <c r="BV53" s="1100"/>
      <c r="BW53" s="1122"/>
      <c r="BX53" s="1126">
        <f t="shared" si="51"/>
        <v>0.1</v>
      </c>
      <c r="BY53" s="1108">
        <v>1</v>
      </c>
      <c r="BZ53" s="1122">
        <f t="shared" si="52"/>
        <v>0</v>
      </c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</row>
    <row r="54" spans="1:108" ht="15.75">
      <c r="A54" s="836">
        <v>35</v>
      </c>
      <c r="B54" s="859" t="s">
        <v>624</v>
      </c>
      <c r="C54" s="1117">
        <f>'проект числ-сть'!L53</f>
        <v>221</v>
      </c>
      <c r="D54" s="1121">
        <f t="shared" si="36"/>
        <v>22</v>
      </c>
      <c r="E54" s="1100"/>
      <c r="F54" s="1122">
        <v>20</v>
      </c>
      <c r="G54" s="1121">
        <f t="shared" si="18"/>
        <v>40</v>
      </c>
      <c r="H54" s="1100"/>
      <c r="I54" s="1122"/>
      <c r="J54" s="1124"/>
      <c r="K54" s="1100"/>
      <c r="L54" s="1122"/>
      <c r="M54" s="1124"/>
      <c r="N54" s="1100"/>
      <c r="O54" s="1122"/>
      <c r="P54" s="1124"/>
      <c r="Q54" s="1100"/>
      <c r="R54" s="1122"/>
      <c r="S54" s="1124"/>
      <c r="T54" s="1100">
        <v>1</v>
      </c>
      <c r="U54" s="1122"/>
      <c r="V54" s="1124"/>
      <c r="W54" s="1100"/>
      <c r="X54" s="1122"/>
      <c r="Y54" s="1124"/>
      <c r="Z54" s="1100"/>
      <c r="AA54" s="1122"/>
      <c r="AB54" s="1124"/>
      <c r="AC54" s="1100"/>
      <c r="AD54" s="1122">
        <v>1</v>
      </c>
      <c r="AE54" s="1124">
        <f t="shared" si="37"/>
        <v>0.2</v>
      </c>
      <c r="AF54" s="1100"/>
      <c r="AG54" s="1122">
        <f t="shared" si="38"/>
        <v>0.2</v>
      </c>
      <c r="AH54" s="1124">
        <f t="shared" si="39"/>
        <v>18</v>
      </c>
      <c r="AI54" s="1100"/>
      <c r="AJ54" s="1122">
        <f t="shared" si="40"/>
        <v>18</v>
      </c>
      <c r="AK54" s="1124">
        <f t="shared" si="41"/>
        <v>66</v>
      </c>
      <c r="AL54" s="1100">
        <v>0</v>
      </c>
      <c r="AM54" s="1122">
        <v>60</v>
      </c>
      <c r="AN54" s="1124">
        <f t="shared" si="42"/>
        <v>1</v>
      </c>
      <c r="AO54" s="1100">
        <v>8</v>
      </c>
      <c r="AP54" s="1122">
        <f t="shared" si="43"/>
        <v>0</v>
      </c>
      <c r="AQ54" s="1124">
        <f t="shared" si="44"/>
        <v>66</v>
      </c>
      <c r="AR54" s="1100"/>
      <c r="AS54" s="1122"/>
      <c r="AT54" s="1124">
        <f t="shared" si="45"/>
        <v>9</v>
      </c>
      <c r="AU54" s="1100"/>
      <c r="AV54" s="1122"/>
      <c r="AW54" s="1124">
        <f t="shared" si="46"/>
        <v>2</v>
      </c>
      <c r="AX54" s="1100"/>
      <c r="AY54" s="1122"/>
      <c r="AZ54" s="1124">
        <f t="shared" si="47"/>
        <v>13</v>
      </c>
      <c r="BA54" s="1100"/>
      <c r="BB54" s="1122"/>
      <c r="BC54" s="1136">
        <f t="shared" si="48"/>
        <v>0.8</v>
      </c>
      <c r="BD54" s="1130"/>
      <c r="BE54" s="1130"/>
      <c r="BF54" s="1124">
        <f t="shared" si="49"/>
        <v>2</v>
      </c>
      <c r="BG54" s="1100"/>
      <c r="BH54" s="1122"/>
      <c r="BI54" s="1124"/>
      <c r="BJ54" s="1100"/>
      <c r="BK54" s="1122"/>
      <c r="BL54" s="1124"/>
      <c r="BM54" s="1100"/>
      <c r="BN54" s="1122"/>
      <c r="BO54" s="1124"/>
      <c r="BP54" s="1100"/>
      <c r="BQ54" s="1122"/>
      <c r="BR54" s="1124"/>
      <c r="BS54" s="1100"/>
      <c r="BT54" s="1122"/>
      <c r="BU54" s="1124">
        <f t="shared" si="50"/>
        <v>1</v>
      </c>
      <c r="BV54" s="1100"/>
      <c r="BW54" s="1122"/>
      <c r="BX54" s="1126">
        <f t="shared" si="51"/>
        <v>0.1</v>
      </c>
      <c r="BY54" s="1108">
        <v>1</v>
      </c>
      <c r="BZ54" s="1122">
        <f t="shared" si="52"/>
        <v>0</v>
      </c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</row>
    <row r="55" spans="1:108" s="1159" customFormat="1" ht="16.5" thickBot="1">
      <c r="A55" s="1319" t="s">
        <v>78</v>
      </c>
      <c r="B55" s="1319"/>
      <c r="C55" s="1151">
        <f>'проект числ-сть'!L54</f>
        <v>16515.333333333332</v>
      </c>
      <c r="D55" s="1152">
        <f>D5+D7+D12+D15+D19+D22+D25+D29+D35+D41+D46+D50</f>
        <v>1655</v>
      </c>
      <c r="E55" s="1153">
        <f t="shared" ref="E55:BG55" si="223">E5+E7+E12+E15+E19+E22+E25+E29+E35+E41+E46+E50</f>
        <v>305</v>
      </c>
      <c r="F55" s="1154">
        <f t="shared" si="223"/>
        <v>1115</v>
      </c>
      <c r="G55" s="1152">
        <f t="shared" si="223"/>
        <v>2974</v>
      </c>
      <c r="H55" s="1153">
        <f t="shared" si="223"/>
        <v>4209</v>
      </c>
      <c r="I55" s="1154">
        <f t="shared" ref="I55" si="224">I5+I7+I12+I15+I19+I22+I25+I29+I35+I41+I46+I50</f>
        <v>120</v>
      </c>
      <c r="J55" s="1152">
        <f t="shared" si="223"/>
        <v>0</v>
      </c>
      <c r="K55" s="1153">
        <f t="shared" si="223"/>
        <v>0</v>
      </c>
      <c r="L55" s="1154">
        <f t="shared" ref="L55" si="225">L5+L7+L12+L15+L19+L22+L25+L29+L35+L41+L46+L50</f>
        <v>140</v>
      </c>
      <c r="M55" s="1152">
        <f t="shared" si="223"/>
        <v>0</v>
      </c>
      <c r="N55" s="1153">
        <f t="shared" si="223"/>
        <v>500</v>
      </c>
      <c r="O55" s="1154">
        <f t="shared" ref="O55:R55" si="226">O5+O7+O12+O15+O19+O22+O25+O29+O35+O41+O46+O50</f>
        <v>50</v>
      </c>
      <c r="P55" s="1152">
        <f t="shared" si="226"/>
        <v>0</v>
      </c>
      <c r="Q55" s="1153">
        <f t="shared" si="226"/>
        <v>74</v>
      </c>
      <c r="R55" s="1154">
        <f t="shared" si="226"/>
        <v>0</v>
      </c>
      <c r="S55" s="1152">
        <f t="shared" si="223"/>
        <v>0</v>
      </c>
      <c r="T55" s="1153">
        <f t="shared" si="223"/>
        <v>17</v>
      </c>
      <c r="U55" s="1154">
        <f t="shared" ref="U55" si="227">U5+U7+U12+U15+U19+U22+U25+U29+U35+U41+U46+U50</f>
        <v>2</v>
      </c>
      <c r="V55" s="1152">
        <f t="shared" si="223"/>
        <v>0</v>
      </c>
      <c r="W55" s="1153">
        <f t="shared" si="223"/>
        <v>0</v>
      </c>
      <c r="X55" s="1154">
        <f t="shared" ref="X55" si="228">X5+X7+X12+X15+X19+X22+X25+X29+X35+X41+X46+X50</f>
        <v>26</v>
      </c>
      <c r="Y55" s="1152">
        <f t="shared" si="223"/>
        <v>0</v>
      </c>
      <c r="Z55" s="1153">
        <f t="shared" si="223"/>
        <v>0</v>
      </c>
      <c r="AA55" s="1154">
        <f t="shared" ref="AA55" si="229">AA5+AA7+AA12+AA15+AA19+AA22+AA25+AA29+AA35+AA41+AA46+AA50</f>
        <v>0</v>
      </c>
      <c r="AB55" s="1152">
        <f t="shared" si="223"/>
        <v>0</v>
      </c>
      <c r="AC55" s="1153">
        <f t="shared" si="223"/>
        <v>5</v>
      </c>
      <c r="AD55" s="1154">
        <f t="shared" ref="AD55" si="230">AD5+AD7+AD12+AD15+AD19+AD22+AD25+AD29+AD35+AD41+AD46+AD50</f>
        <v>19</v>
      </c>
      <c r="AE55" s="1152">
        <f t="shared" si="223"/>
        <v>11.3</v>
      </c>
      <c r="AF55" s="1153" t="s">
        <v>890</v>
      </c>
      <c r="AG55" s="1154">
        <f t="shared" ref="AG55" si="231">AG5+AG7+AG12+AG15+AG19+AG22+AG25+AG29+AG35+AG41+AG46+AG50</f>
        <v>7.98</v>
      </c>
      <c r="AH55" s="1152">
        <f t="shared" si="223"/>
        <v>1324</v>
      </c>
      <c r="AI55" s="1153">
        <f t="shared" si="223"/>
        <v>2810.5</v>
      </c>
      <c r="AJ55" s="1154">
        <f t="shared" ref="AJ55" si="232">AJ5+AJ7+AJ12+AJ15+AJ19+AJ22+AJ25+AJ29+AJ35+AJ41+AJ46+AJ50</f>
        <v>269</v>
      </c>
      <c r="AK55" s="1152">
        <f t="shared" si="223"/>
        <v>3292</v>
      </c>
      <c r="AL55" s="1153">
        <f t="shared" si="223"/>
        <v>2125</v>
      </c>
      <c r="AM55" s="1154">
        <f t="shared" ref="AM55" si="233">AM5+AM7+AM12+AM15+AM19+AM22+AM25+AM29+AM35+AM41+AM46+AM50</f>
        <v>1190</v>
      </c>
      <c r="AN55" s="1152">
        <f t="shared" si="223"/>
        <v>96</v>
      </c>
      <c r="AO55" s="1153">
        <f>AO6+AO8+AO16+AO20+AO21+AO26+AO30+AO32+AO33+AO37+AO40+AO42+AO47+AO51+AO53+AO54</f>
        <v>143</v>
      </c>
      <c r="AP55" s="1154">
        <f>AP6+AP8+AP16+AP20+AP21+AP26+AP30+AP32+AP33+AP37+AP40+AP42+AP47+AP51+AP53+AP54</f>
        <v>67</v>
      </c>
      <c r="AQ55" s="1152">
        <f t="shared" si="223"/>
        <v>4955</v>
      </c>
      <c r="AR55" s="1153">
        <v>5794.3</v>
      </c>
      <c r="AS55" s="1154">
        <f t="shared" ref="AS55" si="234">AS5+AS7+AS12+AS15+AS19+AS22+AS25+AS29+AS35+AS41+AS46+AS50</f>
        <v>319</v>
      </c>
      <c r="AT55" s="1152">
        <f t="shared" si="223"/>
        <v>660</v>
      </c>
      <c r="AU55" s="1153">
        <f t="shared" si="223"/>
        <v>100</v>
      </c>
      <c r="AV55" s="1154">
        <f t="shared" ref="AV55" si="235">AV5+AV7+AV12+AV15+AV19+AV22+AV25+AV29+AV35+AV41+AV46+AV50</f>
        <v>480</v>
      </c>
      <c r="AW55" s="1152">
        <f t="shared" si="223"/>
        <v>113</v>
      </c>
      <c r="AX55" s="1153">
        <f t="shared" si="223"/>
        <v>8</v>
      </c>
      <c r="AY55" s="1154">
        <f t="shared" ref="AY55" si="236">AY5+AY7+AY12+AY15+AY19+AY22+AY25+AY29+AY35+AY41+AY46+AY50</f>
        <v>88</v>
      </c>
      <c r="AZ55" s="1152">
        <f t="shared" si="223"/>
        <v>993</v>
      </c>
      <c r="BA55" s="1153">
        <f t="shared" si="223"/>
        <v>0</v>
      </c>
      <c r="BB55" s="1154">
        <f t="shared" ref="BB55:BE55" si="237">BB5+BB7+BB12+BB15+BB19+BB22+BB25+BB29+BB35+BB41+BB46+BB50</f>
        <v>990</v>
      </c>
      <c r="BC55" s="1155">
        <f t="shared" si="237"/>
        <v>58.100000000000009</v>
      </c>
      <c r="BD55" s="1133">
        <f t="shared" si="237"/>
        <v>0</v>
      </c>
      <c r="BE55" s="1133">
        <f t="shared" si="237"/>
        <v>50</v>
      </c>
      <c r="BF55" s="1152">
        <f t="shared" si="223"/>
        <v>113</v>
      </c>
      <c r="BG55" s="1153">
        <f t="shared" si="223"/>
        <v>21</v>
      </c>
      <c r="BH55" s="1154">
        <f t="shared" ref="BH55:BZ55" si="238">BH5+BH7+BH12+BH15+BH19+BH22+BH25+BH29+BH35+BH41+BH46+BH50</f>
        <v>92</v>
      </c>
      <c r="BI55" s="1152">
        <f t="shared" si="238"/>
        <v>0</v>
      </c>
      <c r="BJ55" s="1153">
        <f t="shared" si="238"/>
        <v>12</v>
      </c>
      <c r="BK55" s="1154">
        <f t="shared" si="238"/>
        <v>1</v>
      </c>
      <c r="BL55" s="1152">
        <f t="shared" si="238"/>
        <v>0</v>
      </c>
      <c r="BM55" s="1153">
        <f t="shared" si="238"/>
        <v>6</v>
      </c>
      <c r="BN55" s="1154">
        <f>BN5+BN7+BN12+BN15+BN19+BN22+BN25+BN29+BN35+BN41+BN46+BN50</f>
        <v>3</v>
      </c>
      <c r="BO55" s="1152">
        <f t="shared" si="238"/>
        <v>0</v>
      </c>
      <c r="BP55" s="1153">
        <f t="shared" si="238"/>
        <v>15</v>
      </c>
      <c r="BQ55" s="1154">
        <f t="shared" si="238"/>
        <v>0</v>
      </c>
      <c r="BR55" s="1152">
        <f t="shared" si="238"/>
        <v>0</v>
      </c>
      <c r="BS55" s="1153">
        <f t="shared" si="238"/>
        <v>10</v>
      </c>
      <c r="BT55" s="1154">
        <f t="shared" si="238"/>
        <v>4</v>
      </c>
      <c r="BU55" s="1152">
        <f t="shared" si="238"/>
        <v>96</v>
      </c>
      <c r="BV55" s="1153">
        <f t="shared" si="238"/>
        <v>0</v>
      </c>
      <c r="BW55" s="1154">
        <f t="shared" si="238"/>
        <v>87</v>
      </c>
      <c r="BX55" s="1156">
        <f t="shared" si="238"/>
        <v>3.7000000000000011</v>
      </c>
      <c r="BY55" s="1157">
        <f>BY5+BY7+BY15+BY19+BY25+BY29+BY35+BY41+BY46+BY50</f>
        <v>70.16</v>
      </c>
      <c r="BZ55" s="1154">
        <f t="shared" si="238"/>
        <v>0.1</v>
      </c>
      <c r="CA55" s="1158"/>
      <c r="CB55" s="1158"/>
      <c r="CC55" s="1158"/>
      <c r="CD55" s="1158"/>
      <c r="CE55" s="1158"/>
      <c r="CF55" s="1158"/>
      <c r="CG55" s="1158"/>
      <c r="CH55" s="1158"/>
      <c r="CI55" s="1158"/>
      <c r="CJ55" s="1158"/>
      <c r="CK55" s="1158"/>
      <c r="CL55" s="1158"/>
      <c r="CM55" s="1158"/>
      <c r="CN55" s="1158"/>
      <c r="CO55" s="1158"/>
      <c r="CP55" s="1158"/>
      <c r="CQ55" s="1158"/>
      <c r="CR55" s="1158"/>
      <c r="CS55" s="1158"/>
      <c r="CT55" s="1158"/>
      <c r="CU55" s="1158"/>
      <c r="CV55" s="1158"/>
      <c r="CW55" s="1158"/>
      <c r="CX55" s="1158"/>
      <c r="CY55" s="1158"/>
      <c r="CZ55" s="1158"/>
      <c r="DA55" s="1158"/>
      <c r="DB55" s="1158"/>
      <c r="DC55" s="1158"/>
      <c r="DD55" s="1158"/>
    </row>
    <row r="56" spans="1:108"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</row>
    <row r="57" spans="1:108"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</row>
    <row r="58" spans="1:108"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0"/>
      <c r="CA58" s="30"/>
      <c r="CB58" s="30"/>
      <c r="CC58" s="30"/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/>
      <c r="DC58" s="30"/>
      <c r="DD58" s="30"/>
    </row>
    <row r="59" spans="1:108"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</row>
  </sheetData>
  <mergeCells count="79">
    <mergeCell ref="BO2:BQ2"/>
    <mergeCell ref="BR2:BT2"/>
    <mergeCell ref="BA3:BB3"/>
    <mergeCell ref="BG3:BH3"/>
    <mergeCell ref="BC2:BE2"/>
    <mergeCell ref="BC3:BC4"/>
    <mergeCell ref="BD3:BE3"/>
    <mergeCell ref="BS3:BT3"/>
    <mergeCell ref="BO3:BO4"/>
    <mergeCell ref="BP3:BQ3"/>
    <mergeCell ref="C2:C4"/>
    <mergeCell ref="AC3:AD3"/>
    <mergeCell ref="AF3:AG3"/>
    <mergeCell ref="Y2:AA2"/>
    <mergeCell ref="AB2:AD2"/>
    <mergeCell ref="AE2:AG2"/>
    <mergeCell ref="D2:F2"/>
    <mergeCell ref="G2:I2"/>
    <mergeCell ref="J2:L2"/>
    <mergeCell ref="M2:O2"/>
    <mergeCell ref="S2:U2"/>
    <mergeCell ref="P2:R2"/>
    <mergeCell ref="AE3:AE4"/>
    <mergeCell ref="BU2:BW2"/>
    <mergeCell ref="BX2:BZ2"/>
    <mergeCell ref="E3:F3"/>
    <mergeCell ref="K3:L3"/>
    <mergeCell ref="N3:O3"/>
    <mergeCell ref="T3:U3"/>
    <mergeCell ref="W3:X3"/>
    <mergeCell ref="Z3:AA3"/>
    <mergeCell ref="AT2:AV2"/>
    <mergeCell ref="AW2:AY2"/>
    <mergeCell ref="AZ2:BB2"/>
    <mergeCell ref="BF2:BH2"/>
    <mergeCell ref="BI2:BK2"/>
    <mergeCell ref="BJ3:BK3"/>
    <mergeCell ref="BL3:BL4"/>
    <mergeCell ref="BY3:BZ3"/>
    <mergeCell ref="AR3:AS3"/>
    <mergeCell ref="AN2:AP2"/>
    <mergeCell ref="AQ2:AS2"/>
    <mergeCell ref="BM3:BN3"/>
    <mergeCell ref="AK3:AK4"/>
    <mergeCell ref="AN3:AN4"/>
    <mergeCell ref="AQ3:AQ4"/>
    <mergeCell ref="AT3:AT4"/>
    <mergeCell ref="A55:B55"/>
    <mergeCell ref="B2:B4"/>
    <mergeCell ref="D3:D4"/>
    <mergeCell ref="G3:G4"/>
    <mergeCell ref="AH2:AJ2"/>
    <mergeCell ref="H3:I3"/>
    <mergeCell ref="J3:J4"/>
    <mergeCell ref="M3:M4"/>
    <mergeCell ref="S3:S4"/>
    <mergeCell ref="V3:V4"/>
    <mergeCell ref="Y3:Y4"/>
    <mergeCell ref="AB3:AB4"/>
    <mergeCell ref="P3:P4"/>
    <mergeCell ref="Q3:R3"/>
    <mergeCell ref="AH3:AH4"/>
    <mergeCell ref="AI3:AJ3"/>
    <mergeCell ref="B1:M1"/>
    <mergeCell ref="BX3:BX4"/>
    <mergeCell ref="AU3:AV3"/>
    <mergeCell ref="AW3:AW4"/>
    <mergeCell ref="AZ3:AZ4"/>
    <mergeCell ref="BF3:BF4"/>
    <mergeCell ref="BI3:BI4"/>
    <mergeCell ref="AX3:AY3"/>
    <mergeCell ref="BV3:BW3"/>
    <mergeCell ref="BU3:BU4"/>
    <mergeCell ref="BR3:BR4"/>
    <mergeCell ref="BL2:BN2"/>
    <mergeCell ref="V2:X2"/>
    <mergeCell ref="AK2:AM2"/>
    <mergeCell ref="AL3:AM3"/>
    <mergeCell ref="AO3:AP3"/>
  </mergeCells>
  <pageMargins left="0.51181102362204722" right="0.39370078740157483" top="0.23622047244094491" bottom="0.19685039370078741" header="0.23622047244094491" footer="0.19685039370078741"/>
  <pageSetup paperSize="9" scale="63" orientation="landscape" verticalDpi="0" r:id="rId1"/>
  <colBreaks count="3" manualBreakCount="3">
    <brk id="21" max="54" man="1"/>
    <brk id="42" max="54" man="1"/>
    <brk id="66" max="54" man="1"/>
  </col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Y66"/>
  <sheetViews>
    <sheetView tabSelected="1" view="pageBreakPreview" topLeftCell="BD1" zoomScaleSheetLayoutView="100" workbookViewId="0">
      <selection activeCell="BK14" sqref="BK14"/>
    </sheetView>
  </sheetViews>
  <sheetFormatPr defaultRowHeight="15"/>
  <cols>
    <col min="1" max="1" width="9.140625" style="293"/>
    <col min="2" max="2" width="22.5703125" style="293" customWidth="1"/>
    <col min="3" max="3" width="12" style="997" customWidth="1"/>
    <col min="4" max="4" width="10.28515625" style="293" customWidth="1"/>
    <col min="5" max="5" width="10.85546875" style="293" customWidth="1"/>
    <col min="6" max="6" width="8.140625" style="293" customWidth="1"/>
    <col min="7" max="7" width="10" style="293" customWidth="1"/>
    <col min="8" max="8" width="10.42578125" style="293" customWidth="1"/>
    <col min="9" max="9" width="8.140625" style="293" customWidth="1"/>
    <col min="10" max="10" width="10.42578125" style="293" customWidth="1"/>
    <col min="11" max="11" width="10.5703125" style="293" customWidth="1"/>
    <col min="12" max="12" width="8" style="293" customWidth="1"/>
    <col min="13" max="15" width="8.28515625" style="293" customWidth="1"/>
    <col min="16" max="16" width="10.28515625" style="293" customWidth="1"/>
    <col min="17" max="17" width="11" style="293" customWidth="1"/>
    <col min="18" max="18" width="8.85546875" style="293" customWidth="1"/>
    <col min="19" max="19" width="10.28515625" style="293" customWidth="1"/>
    <col min="20" max="20" width="10.5703125" style="293" customWidth="1"/>
    <col min="21" max="21" width="9" style="293" customWidth="1"/>
    <col min="22" max="22" width="10.140625" style="293" customWidth="1"/>
    <col min="23" max="23" width="10.5703125" style="293" customWidth="1"/>
    <col min="24" max="24" width="8.5703125" style="293" customWidth="1"/>
    <col min="25" max="25" width="9.85546875" style="293" customWidth="1"/>
    <col min="26" max="26" width="10" style="293" customWidth="1"/>
    <col min="27" max="27" width="7.85546875" style="293" customWidth="1"/>
    <col min="28" max="28" width="10.140625" style="293" customWidth="1"/>
    <col min="29" max="29" width="10.42578125" style="293" customWidth="1"/>
    <col min="30" max="30" width="8.28515625" style="293" customWidth="1"/>
    <col min="31" max="31" width="10" style="293" customWidth="1"/>
    <col min="32" max="32" width="10.85546875" style="293" customWidth="1"/>
    <col min="33" max="33" width="8.5703125" style="293" customWidth="1"/>
    <col min="34" max="34" width="10.5703125" style="293" customWidth="1"/>
    <col min="35" max="35" width="10.7109375" style="293" customWidth="1"/>
    <col min="36" max="36" width="8.42578125" style="293" customWidth="1"/>
    <col min="37" max="37" width="10.140625" style="293" customWidth="1"/>
    <col min="38" max="38" width="10.42578125" style="293" customWidth="1"/>
    <col min="39" max="39" width="8.42578125" style="293" customWidth="1"/>
    <col min="40" max="40" width="10.140625" style="293" customWidth="1"/>
    <col min="41" max="41" width="10.42578125" style="293" customWidth="1"/>
    <col min="42" max="42" width="8.140625" style="293" customWidth="1"/>
    <col min="43" max="43" width="10.42578125" style="293" customWidth="1"/>
    <col min="44" max="44" width="10.7109375" style="293" customWidth="1"/>
    <col min="45" max="45" width="8.5703125" style="293" customWidth="1"/>
    <col min="46" max="46" width="10.42578125" style="293" customWidth="1"/>
    <col min="47" max="47" width="10.5703125" style="293" customWidth="1"/>
    <col min="48" max="48" width="8.5703125" style="293" customWidth="1"/>
    <col min="49" max="49" width="10.42578125" style="293" customWidth="1"/>
    <col min="50" max="50" width="10.85546875" style="293" customWidth="1"/>
    <col min="51" max="51" width="9.140625" style="293" customWidth="1"/>
    <col min="52" max="52" width="10.140625" style="293" customWidth="1"/>
    <col min="53" max="53" width="10.7109375" style="293" customWidth="1"/>
    <col min="54" max="57" width="8.42578125" style="293" customWidth="1"/>
    <col min="58" max="58" width="10.140625" style="293" customWidth="1"/>
    <col min="59" max="59" width="10.85546875" style="293" customWidth="1"/>
    <col min="60" max="60" width="8.85546875" style="293" customWidth="1"/>
    <col min="61" max="61" width="10.28515625" style="293" customWidth="1"/>
    <col min="62" max="62" width="10.5703125" style="293" customWidth="1"/>
    <col min="63" max="63" width="8.5703125" style="293" customWidth="1"/>
    <col min="64" max="64" width="10.28515625" style="293" customWidth="1"/>
    <col min="65" max="65" width="10.5703125" style="293" customWidth="1"/>
    <col min="66" max="66" width="9.140625" style="293" customWidth="1"/>
    <col min="67" max="67" width="10.28515625" style="293" customWidth="1"/>
    <col min="68" max="68" width="10.42578125" style="293" customWidth="1"/>
    <col min="69" max="69" width="8.7109375" style="293" customWidth="1"/>
    <col min="70" max="70" width="10.28515625" style="293" customWidth="1"/>
    <col min="71" max="71" width="10.5703125" style="293" customWidth="1"/>
    <col min="72" max="72" width="8.85546875" style="293" customWidth="1"/>
    <col min="73" max="73" width="10" style="293" customWidth="1"/>
    <col min="74" max="74" width="10.85546875" style="293" customWidth="1"/>
    <col min="75" max="75" width="8.85546875" style="293" customWidth="1"/>
    <col min="76" max="76" width="10.140625" style="293" customWidth="1"/>
    <col min="77" max="77" width="10.42578125" style="293" customWidth="1"/>
    <col min="78" max="78" width="8.85546875" style="293" customWidth="1"/>
    <col min="79" max="92" width="9.140625" style="227" customWidth="1"/>
    <col min="93" max="99" width="9.140625" style="227"/>
    <col min="100" max="16384" width="9.140625" style="293"/>
  </cols>
  <sheetData>
    <row r="1" spans="1:103" ht="15.75" thickBot="1">
      <c r="B1" s="1340" t="s">
        <v>901</v>
      </c>
      <c r="C1" s="1341"/>
      <c r="D1" s="1341"/>
      <c r="E1" s="1341"/>
      <c r="F1" s="1341"/>
      <c r="G1" s="1341"/>
      <c r="H1" s="1341"/>
      <c r="I1" s="1341"/>
      <c r="J1" s="1341"/>
      <c r="K1" s="1341"/>
      <c r="L1" s="1341"/>
    </row>
    <row r="2" spans="1:103" s="988" customFormat="1" ht="38.25" customHeight="1">
      <c r="A2" s="1144"/>
      <c r="B2" s="1320" t="s">
        <v>2</v>
      </c>
      <c r="C2" s="1333" t="s">
        <v>897</v>
      </c>
      <c r="D2" s="1324" t="s">
        <v>127</v>
      </c>
      <c r="E2" s="1325"/>
      <c r="F2" s="1326"/>
      <c r="G2" s="1324" t="s">
        <v>128</v>
      </c>
      <c r="H2" s="1325"/>
      <c r="I2" s="1326"/>
      <c r="J2" s="1324" t="s">
        <v>129</v>
      </c>
      <c r="K2" s="1325"/>
      <c r="L2" s="1326"/>
      <c r="M2" s="1324" t="s">
        <v>878</v>
      </c>
      <c r="N2" s="1325"/>
      <c r="O2" s="1326"/>
      <c r="P2" s="1336" t="s">
        <v>898</v>
      </c>
      <c r="Q2" s="1337"/>
      <c r="R2" s="1338"/>
      <c r="S2" s="1324" t="s">
        <v>130</v>
      </c>
      <c r="T2" s="1325"/>
      <c r="U2" s="1326"/>
      <c r="V2" s="1324" t="s">
        <v>131</v>
      </c>
      <c r="W2" s="1325"/>
      <c r="X2" s="1326"/>
      <c r="Y2" s="1324" t="s">
        <v>896</v>
      </c>
      <c r="Z2" s="1325"/>
      <c r="AA2" s="1326"/>
      <c r="AB2" s="1324" t="s">
        <v>133</v>
      </c>
      <c r="AC2" s="1325"/>
      <c r="AD2" s="1326"/>
      <c r="AE2" s="1324" t="s">
        <v>134</v>
      </c>
      <c r="AF2" s="1325"/>
      <c r="AG2" s="1326"/>
      <c r="AH2" s="1324" t="s">
        <v>135</v>
      </c>
      <c r="AI2" s="1325"/>
      <c r="AJ2" s="1326"/>
      <c r="AK2" s="1324" t="s">
        <v>850</v>
      </c>
      <c r="AL2" s="1325"/>
      <c r="AM2" s="1326"/>
      <c r="AN2" s="1324" t="s">
        <v>851</v>
      </c>
      <c r="AO2" s="1331"/>
      <c r="AP2" s="1332"/>
      <c r="AQ2" s="1324" t="s">
        <v>852</v>
      </c>
      <c r="AR2" s="1325"/>
      <c r="AS2" s="1326"/>
      <c r="AT2" s="1324" t="s">
        <v>891</v>
      </c>
      <c r="AU2" s="1325"/>
      <c r="AV2" s="1326"/>
      <c r="AW2" s="1324" t="s">
        <v>136</v>
      </c>
      <c r="AX2" s="1325"/>
      <c r="AY2" s="1326"/>
      <c r="AZ2" s="1324" t="s">
        <v>137</v>
      </c>
      <c r="BA2" s="1325"/>
      <c r="BB2" s="1326"/>
      <c r="BC2" s="1336" t="s">
        <v>900</v>
      </c>
      <c r="BD2" s="1337"/>
      <c r="BE2" s="1338"/>
      <c r="BF2" s="1324" t="s">
        <v>138</v>
      </c>
      <c r="BG2" s="1325"/>
      <c r="BH2" s="1326"/>
      <c r="BI2" s="1324" t="s">
        <v>139</v>
      </c>
      <c r="BJ2" s="1325"/>
      <c r="BK2" s="1326"/>
      <c r="BL2" s="1324" t="s">
        <v>893</v>
      </c>
      <c r="BM2" s="1325"/>
      <c r="BN2" s="1326"/>
      <c r="BO2" s="1324" t="s">
        <v>140</v>
      </c>
      <c r="BP2" s="1325"/>
      <c r="BQ2" s="1326"/>
      <c r="BR2" s="1324" t="s">
        <v>141</v>
      </c>
      <c r="BS2" s="1325"/>
      <c r="BT2" s="1326"/>
      <c r="BU2" s="1324" t="s">
        <v>885</v>
      </c>
      <c r="BV2" s="1325"/>
      <c r="BW2" s="1326"/>
      <c r="BX2" s="1324" t="s">
        <v>142</v>
      </c>
      <c r="BY2" s="1325"/>
      <c r="BZ2" s="1326"/>
      <c r="CA2" s="1109"/>
      <c r="CB2" s="1109"/>
      <c r="CC2" s="1109"/>
      <c r="CD2" s="1109"/>
      <c r="CE2" s="1109"/>
      <c r="CF2" s="1109"/>
      <c r="CG2" s="1109"/>
      <c r="CH2" s="1109"/>
      <c r="CI2" s="1109"/>
      <c r="CJ2" s="1109"/>
      <c r="CK2" s="1109"/>
      <c r="CL2" s="1109"/>
      <c r="CM2" s="1109"/>
      <c r="CN2" s="1109"/>
      <c r="CO2" s="1109"/>
      <c r="CP2" s="1109"/>
      <c r="CQ2" s="1109"/>
      <c r="CR2" s="1109"/>
      <c r="CS2" s="1109"/>
      <c r="CT2" s="1109"/>
      <c r="CU2" s="1109"/>
    </row>
    <row r="3" spans="1:103" s="988" customFormat="1" ht="15" customHeight="1">
      <c r="A3" s="1145"/>
      <c r="B3" s="1321"/>
      <c r="C3" s="1334"/>
      <c r="D3" s="1316" t="s">
        <v>143</v>
      </c>
      <c r="E3" s="1317" t="s">
        <v>849</v>
      </c>
      <c r="F3" s="1318"/>
      <c r="G3" s="1316" t="s">
        <v>143</v>
      </c>
      <c r="H3" s="1317" t="s">
        <v>849</v>
      </c>
      <c r="I3" s="1318"/>
      <c r="J3" s="1316" t="s">
        <v>143</v>
      </c>
      <c r="K3" s="1317" t="s">
        <v>849</v>
      </c>
      <c r="L3" s="1318"/>
      <c r="M3" s="1316" t="s">
        <v>143</v>
      </c>
      <c r="N3" s="1317" t="s">
        <v>849</v>
      </c>
      <c r="O3" s="1318"/>
      <c r="P3" s="1327" t="s">
        <v>143</v>
      </c>
      <c r="Q3" s="1329" t="s">
        <v>849</v>
      </c>
      <c r="R3" s="1330"/>
      <c r="S3" s="1316" t="s">
        <v>143</v>
      </c>
      <c r="T3" s="1317" t="s">
        <v>849</v>
      </c>
      <c r="U3" s="1318"/>
      <c r="V3" s="1316" t="s">
        <v>143</v>
      </c>
      <c r="W3" s="1317" t="s">
        <v>849</v>
      </c>
      <c r="X3" s="1318"/>
      <c r="Y3" s="1316" t="s">
        <v>143</v>
      </c>
      <c r="Z3" s="1317" t="s">
        <v>849</v>
      </c>
      <c r="AA3" s="1318"/>
      <c r="AB3" s="1316" t="s">
        <v>143</v>
      </c>
      <c r="AC3" s="1317" t="s">
        <v>849</v>
      </c>
      <c r="AD3" s="1318"/>
      <c r="AE3" s="1316" t="s">
        <v>143</v>
      </c>
      <c r="AF3" s="1317" t="s">
        <v>849</v>
      </c>
      <c r="AG3" s="1318"/>
      <c r="AH3" s="1316" t="s">
        <v>143</v>
      </c>
      <c r="AI3" s="1317" t="s">
        <v>849</v>
      </c>
      <c r="AJ3" s="1318"/>
      <c r="AK3" s="1316" t="s">
        <v>143</v>
      </c>
      <c r="AL3" s="1317" t="s">
        <v>849</v>
      </c>
      <c r="AM3" s="1318"/>
      <c r="AN3" s="1316" t="s">
        <v>143</v>
      </c>
      <c r="AO3" s="1317" t="s">
        <v>849</v>
      </c>
      <c r="AP3" s="1318"/>
      <c r="AQ3" s="1316" t="s">
        <v>143</v>
      </c>
      <c r="AR3" s="1317" t="s">
        <v>849</v>
      </c>
      <c r="AS3" s="1318"/>
      <c r="AT3" s="1316" t="s">
        <v>143</v>
      </c>
      <c r="AU3" s="1317" t="s">
        <v>849</v>
      </c>
      <c r="AV3" s="1318"/>
      <c r="AW3" s="1316" t="s">
        <v>143</v>
      </c>
      <c r="AX3" s="1317" t="s">
        <v>849</v>
      </c>
      <c r="AY3" s="1318"/>
      <c r="AZ3" s="1316" t="s">
        <v>143</v>
      </c>
      <c r="BA3" s="1317" t="s">
        <v>849</v>
      </c>
      <c r="BB3" s="1318"/>
      <c r="BC3" s="1316" t="s">
        <v>143</v>
      </c>
      <c r="BD3" s="1317" t="s">
        <v>849</v>
      </c>
      <c r="BE3" s="1318"/>
      <c r="BF3" s="1316" t="s">
        <v>143</v>
      </c>
      <c r="BG3" s="1317" t="s">
        <v>849</v>
      </c>
      <c r="BH3" s="1318"/>
      <c r="BI3" s="1316" t="s">
        <v>143</v>
      </c>
      <c r="BJ3" s="1317" t="s">
        <v>849</v>
      </c>
      <c r="BK3" s="1318"/>
      <c r="BL3" s="1316" t="s">
        <v>143</v>
      </c>
      <c r="BM3" s="1317" t="s">
        <v>849</v>
      </c>
      <c r="BN3" s="1318"/>
      <c r="BO3" s="1316" t="s">
        <v>143</v>
      </c>
      <c r="BP3" s="1317" t="s">
        <v>849</v>
      </c>
      <c r="BQ3" s="1318"/>
      <c r="BR3" s="1316" t="s">
        <v>143</v>
      </c>
      <c r="BS3" s="1317" t="s">
        <v>849</v>
      </c>
      <c r="BT3" s="1318"/>
      <c r="BU3" s="1316" t="s">
        <v>143</v>
      </c>
      <c r="BV3" s="1317" t="s">
        <v>849</v>
      </c>
      <c r="BW3" s="1318"/>
      <c r="BX3" s="1316" t="s">
        <v>143</v>
      </c>
      <c r="BY3" s="1317" t="s">
        <v>849</v>
      </c>
      <c r="BZ3" s="1318"/>
      <c r="CA3" s="1109"/>
      <c r="CB3" s="1109"/>
      <c r="CC3" s="1109"/>
      <c r="CD3" s="1109"/>
      <c r="CE3" s="1109"/>
      <c r="CF3" s="1109"/>
      <c r="CG3" s="1109"/>
      <c r="CH3" s="1109"/>
      <c r="CI3" s="1109"/>
      <c r="CJ3" s="1109"/>
      <c r="CK3" s="1109"/>
      <c r="CL3" s="1109"/>
      <c r="CM3" s="1109"/>
      <c r="CN3" s="1109"/>
      <c r="CO3" s="1109"/>
      <c r="CP3" s="1109"/>
      <c r="CQ3" s="1109"/>
      <c r="CR3" s="1109"/>
      <c r="CS3" s="1109"/>
      <c r="CT3" s="1109"/>
      <c r="CU3" s="1109"/>
    </row>
    <row r="4" spans="1:103" s="988" customFormat="1" ht="27" customHeight="1" thickBot="1">
      <c r="A4" s="1146"/>
      <c r="B4" s="1322"/>
      <c r="C4" s="1335"/>
      <c r="D4" s="1323"/>
      <c r="E4" s="1147" t="s">
        <v>848</v>
      </c>
      <c r="F4" s="1148" t="s">
        <v>144</v>
      </c>
      <c r="G4" s="1316"/>
      <c r="H4" s="1101" t="s">
        <v>848</v>
      </c>
      <c r="I4" s="1118" t="s">
        <v>144</v>
      </c>
      <c r="J4" s="1316"/>
      <c r="K4" s="1101" t="s">
        <v>848</v>
      </c>
      <c r="L4" s="1118" t="s">
        <v>144</v>
      </c>
      <c r="M4" s="1316"/>
      <c r="N4" s="1101" t="s">
        <v>848</v>
      </c>
      <c r="O4" s="1118" t="s">
        <v>144</v>
      </c>
      <c r="P4" s="1328"/>
      <c r="Q4" s="1101" t="s">
        <v>848</v>
      </c>
      <c r="R4" s="1118" t="s">
        <v>144</v>
      </c>
      <c r="S4" s="1316"/>
      <c r="T4" s="1101" t="s">
        <v>848</v>
      </c>
      <c r="U4" s="1118" t="s">
        <v>144</v>
      </c>
      <c r="V4" s="1316"/>
      <c r="W4" s="1101" t="s">
        <v>848</v>
      </c>
      <c r="X4" s="1118" t="s">
        <v>144</v>
      </c>
      <c r="Y4" s="1316"/>
      <c r="Z4" s="1101" t="s">
        <v>848</v>
      </c>
      <c r="AA4" s="1118" t="s">
        <v>144</v>
      </c>
      <c r="AB4" s="1316"/>
      <c r="AC4" s="1101" t="s">
        <v>848</v>
      </c>
      <c r="AD4" s="1118" t="s">
        <v>144</v>
      </c>
      <c r="AE4" s="1316"/>
      <c r="AF4" s="1101" t="s">
        <v>848</v>
      </c>
      <c r="AG4" s="1118" t="s">
        <v>144</v>
      </c>
      <c r="AH4" s="1316"/>
      <c r="AI4" s="1101" t="s">
        <v>848</v>
      </c>
      <c r="AJ4" s="1118" t="s">
        <v>144</v>
      </c>
      <c r="AK4" s="1316"/>
      <c r="AL4" s="1101" t="s">
        <v>848</v>
      </c>
      <c r="AM4" s="1118" t="s">
        <v>144</v>
      </c>
      <c r="AN4" s="1316"/>
      <c r="AO4" s="1101" t="s">
        <v>848</v>
      </c>
      <c r="AP4" s="1118" t="s">
        <v>144</v>
      </c>
      <c r="AQ4" s="1316"/>
      <c r="AR4" s="1101" t="s">
        <v>848</v>
      </c>
      <c r="AS4" s="1118" t="s">
        <v>144</v>
      </c>
      <c r="AT4" s="1316"/>
      <c r="AU4" s="1101" t="s">
        <v>848</v>
      </c>
      <c r="AV4" s="1118" t="s">
        <v>144</v>
      </c>
      <c r="AW4" s="1316"/>
      <c r="AX4" s="1101" t="s">
        <v>848</v>
      </c>
      <c r="AY4" s="1118" t="s">
        <v>144</v>
      </c>
      <c r="AZ4" s="1316"/>
      <c r="BA4" s="1101" t="s">
        <v>848</v>
      </c>
      <c r="BB4" s="1118" t="s">
        <v>144</v>
      </c>
      <c r="BC4" s="1339"/>
      <c r="BD4" s="1132" t="s">
        <v>848</v>
      </c>
      <c r="BE4" s="1132" t="s">
        <v>144</v>
      </c>
      <c r="BF4" s="1342"/>
      <c r="BG4" s="1101" t="s">
        <v>848</v>
      </c>
      <c r="BH4" s="1118" t="s">
        <v>144</v>
      </c>
      <c r="BI4" s="1316"/>
      <c r="BJ4" s="1101" t="s">
        <v>848</v>
      </c>
      <c r="BK4" s="1118" t="s">
        <v>144</v>
      </c>
      <c r="BL4" s="1316"/>
      <c r="BM4" s="1101" t="s">
        <v>848</v>
      </c>
      <c r="BN4" s="1118" t="s">
        <v>144</v>
      </c>
      <c r="BO4" s="1316"/>
      <c r="BP4" s="1101" t="s">
        <v>848</v>
      </c>
      <c r="BQ4" s="1118" t="s">
        <v>144</v>
      </c>
      <c r="BR4" s="1316"/>
      <c r="BS4" s="1101" t="s">
        <v>848</v>
      </c>
      <c r="BT4" s="1118" t="s">
        <v>144</v>
      </c>
      <c r="BU4" s="1316"/>
      <c r="BV4" s="1101" t="s">
        <v>848</v>
      </c>
      <c r="BW4" s="1118" t="s">
        <v>144</v>
      </c>
      <c r="BX4" s="1316"/>
      <c r="BY4" s="1101" t="s">
        <v>848</v>
      </c>
      <c r="BZ4" s="1118" t="s">
        <v>144</v>
      </c>
      <c r="CA4" s="1109"/>
      <c r="CB4" s="1109"/>
      <c r="CC4" s="1109"/>
      <c r="CD4" s="1109"/>
      <c r="CE4" s="1109"/>
      <c r="CF4" s="1109"/>
      <c r="CG4" s="1109"/>
      <c r="CH4" s="1109"/>
      <c r="CI4" s="1109"/>
      <c r="CJ4" s="1109"/>
      <c r="CK4" s="1109"/>
      <c r="CL4" s="1109"/>
      <c r="CM4" s="1109"/>
      <c r="CN4" s="1109"/>
      <c r="CO4" s="1109"/>
      <c r="CP4" s="1109"/>
      <c r="CQ4" s="1109"/>
      <c r="CR4" s="1109"/>
      <c r="CS4" s="1109"/>
      <c r="CT4" s="1109"/>
      <c r="CU4" s="1109"/>
    </row>
    <row r="5" spans="1:103" s="576" customFormat="1" ht="18" customHeight="1">
      <c r="A5" s="1138"/>
      <c r="B5" s="1139" t="s">
        <v>611</v>
      </c>
      <c r="C5" s="1140">
        <f>'проект числ-сть'!M4</f>
        <v>7231.666666666667</v>
      </c>
      <c r="D5" s="1141">
        <f>D6</f>
        <v>723</v>
      </c>
      <c r="E5" s="1142">
        <f t="shared" ref="E5:F5" si="0">E6</f>
        <v>120</v>
      </c>
      <c r="F5" s="1143">
        <f t="shared" si="0"/>
        <v>600</v>
      </c>
      <c r="G5" s="1119">
        <f t="shared" ref="G5:BS5" si="1">G6</f>
        <v>1302</v>
      </c>
      <c r="H5" s="992">
        <f t="shared" si="1"/>
        <v>1439</v>
      </c>
      <c r="I5" s="1120">
        <f t="shared" si="1"/>
        <v>0</v>
      </c>
      <c r="J5" s="1119">
        <f t="shared" si="1"/>
        <v>0</v>
      </c>
      <c r="K5" s="992">
        <f t="shared" si="1"/>
        <v>0</v>
      </c>
      <c r="L5" s="1120">
        <f t="shared" si="1"/>
        <v>140</v>
      </c>
      <c r="M5" s="1119">
        <f t="shared" si="1"/>
        <v>0</v>
      </c>
      <c r="N5" s="992">
        <f t="shared" si="1"/>
        <v>350</v>
      </c>
      <c r="O5" s="1120">
        <f t="shared" si="1"/>
        <v>0</v>
      </c>
      <c r="P5" s="1119">
        <f t="shared" si="1"/>
        <v>0</v>
      </c>
      <c r="Q5" s="992">
        <f t="shared" si="1"/>
        <v>59</v>
      </c>
      <c r="R5" s="1120">
        <f t="shared" si="1"/>
        <v>0</v>
      </c>
      <c r="S5" s="1119">
        <f t="shared" si="1"/>
        <v>0</v>
      </c>
      <c r="T5" s="992">
        <f t="shared" si="1"/>
        <v>0</v>
      </c>
      <c r="U5" s="1120">
        <f t="shared" si="1"/>
        <v>0</v>
      </c>
      <c r="V5" s="1119">
        <f t="shared" si="1"/>
        <v>0</v>
      </c>
      <c r="W5" s="992">
        <f t="shared" si="1"/>
        <v>0</v>
      </c>
      <c r="X5" s="1120">
        <f t="shared" si="1"/>
        <v>0</v>
      </c>
      <c r="Y5" s="1119">
        <f t="shared" si="1"/>
        <v>0</v>
      </c>
      <c r="Z5" s="992">
        <f t="shared" si="1"/>
        <v>0</v>
      </c>
      <c r="AA5" s="1120">
        <f t="shared" si="1"/>
        <v>0</v>
      </c>
      <c r="AB5" s="1119">
        <f t="shared" si="1"/>
        <v>0</v>
      </c>
      <c r="AC5" s="992">
        <f t="shared" si="1"/>
        <v>3</v>
      </c>
      <c r="AD5" s="1120">
        <f t="shared" si="1"/>
        <v>0</v>
      </c>
      <c r="AE5" s="1119">
        <f t="shared" si="1"/>
        <v>5.0999999999999996</v>
      </c>
      <c r="AF5" s="992">
        <f t="shared" si="1"/>
        <v>3.02</v>
      </c>
      <c r="AG5" s="1120">
        <f t="shared" si="1"/>
        <v>2.0799999999999996</v>
      </c>
      <c r="AH5" s="1119">
        <f t="shared" si="1"/>
        <v>579</v>
      </c>
      <c r="AI5" s="992">
        <f t="shared" si="1"/>
        <v>921.5</v>
      </c>
      <c r="AJ5" s="1120">
        <f t="shared" si="1"/>
        <v>0</v>
      </c>
      <c r="AK5" s="1119">
        <f t="shared" si="1"/>
        <v>579</v>
      </c>
      <c r="AL5" s="992">
        <f t="shared" si="1"/>
        <v>380</v>
      </c>
      <c r="AM5" s="1120">
        <f t="shared" si="1"/>
        <v>250</v>
      </c>
      <c r="AN5" s="1119">
        <f t="shared" si="1"/>
        <v>43</v>
      </c>
      <c r="AO5" s="992">
        <f t="shared" si="1"/>
        <v>0</v>
      </c>
      <c r="AP5" s="1120">
        <f t="shared" si="1"/>
        <v>43</v>
      </c>
      <c r="AQ5" s="1119">
        <f t="shared" si="1"/>
        <v>2170</v>
      </c>
      <c r="AR5" s="992" t="s">
        <v>890</v>
      </c>
      <c r="AS5" s="1120">
        <f t="shared" ref="AS5" si="2">AS6</f>
        <v>0</v>
      </c>
      <c r="AT5" s="1119">
        <f t="shared" si="1"/>
        <v>289</v>
      </c>
      <c r="AU5" s="992">
        <f t="shared" si="1"/>
        <v>80</v>
      </c>
      <c r="AV5" s="1120">
        <f t="shared" si="1"/>
        <v>210</v>
      </c>
      <c r="AW5" s="1119">
        <f>BC6</f>
        <v>25.3</v>
      </c>
      <c r="AX5" s="992">
        <f t="shared" si="1"/>
        <v>8</v>
      </c>
      <c r="AY5" s="1120">
        <f t="shared" si="1"/>
        <v>45</v>
      </c>
      <c r="AZ5" s="1119">
        <f t="shared" si="1"/>
        <v>434</v>
      </c>
      <c r="BA5" s="992">
        <f t="shared" si="1"/>
        <v>0</v>
      </c>
      <c r="BB5" s="1120">
        <f t="shared" si="1"/>
        <v>700</v>
      </c>
      <c r="BC5" s="1135">
        <f t="shared" si="1"/>
        <v>25.3</v>
      </c>
      <c r="BD5" s="992">
        <f t="shared" si="1"/>
        <v>0</v>
      </c>
      <c r="BE5" s="992">
        <f t="shared" si="1"/>
        <v>50</v>
      </c>
      <c r="BF5" s="1137">
        <f t="shared" si="1"/>
        <v>51</v>
      </c>
      <c r="BG5" s="992">
        <f t="shared" si="1"/>
        <v>21</v>
      </c>
      <c r="BH5" s="1120">
        <f t="shared" si="1"/>
        <v>30</v>
      </c>
      <c r="BI5" s="1119">
        <f t="shared" si="1"/>
        <v>0</v>
      </c>
      <c r="BJ5" s="992">
        <f t="shared" si="1"/>
        <v>1</v>
      </c>
      <c r="BK5" s="1120">
        <f t="shared" si="1"/>
        <v>0</v>
      </c>
      <c r="BL5" s="1119">
        <f t="shared" si="1"/>
        <v>0</v>
      </c>
      <c r="BM5" s="992">
        <f t="shared" si="1"/>
        <v>1</v>
      </c>
      <c r="BN5" s="1120">
        <f t="shared" si="1"/>
        <v>0</v>
      </c>
      <c r="BO5" s="1119">
        <f t="shared" si="1"/>
        <v>7</v>
      </c>
      <c r="BP5" s="992">
        <f t="shared" si="1"/>
        <v>8</v>
      </c>
      <c r="BQ5" s="1120">
        <f t="shared" si="1"/>
        <v>0</v>
      </c>
      <c r="BR5" s="1119">
        <f t="shared" si="1"/>
        <v>0</v>
      </c>
      <c r="BS5" s="992">
        <f t="shared" si="1"/>
        <v>2</v>
      </c>
      <c r="BT5" s="1120">
        <f t="shared" ref="BT5" si="3">BT6</f>
        <v>0</v>
      </c>
      <c r="BU5" s="1119">
        <f t="shared" ref="BU5:BZ5" si="4">BU6</f>
        <v>43</v>
      </c>
      <c r="BV5" s="992">
        <f t="shared" si="4"/>
        <v>0</v>
      </c>
      <c r="BW5" s="1120">
        <f t="shared" si="4"/>
        <v>45</v>
      </c>
      <c r="BX5" s="1125">
        <f t="shared" si="4"/>
        <v>1.7</v>
      </c>
      <c r="BY5" s="1107">
        <f t="shared" si="4"/>
        <v>10</v>
      </c>
      <c r="BZ5" s="1120">
        <f t="shared" si="4"/>
        <v>0</v>
      </c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</row>
    <row r="6" spans="1:103" s="30" customFormat="1" ht="15" customHeight="1">
      <c r="A6" s="998">
        <v>1</v>
      </c>
      <c r="B6" s="1001" t="s">
        <v>688</v>
      </c>
      <c r="C6" s="1117">
        <f>'проект числ-сть'!M5</f>
        <v>7231.666666666667</v>
      </c>
      <c r="D6" s="1121">
        <f>ROUND(C6/1000*100,0)</f>
        <v>723</v>
      </c>
      <c r="E6" s="1100">
        <f>120</f>
        <v>120</v>
      </c>
      <c r="F6" s="1122">
        <v>600</v>
      </c>
      <c r="G6" s="1121">
        <f>ROUND(C6*180/1000,0)</f>
        <v>1302</v>
      </c>
      <c r="H6" s="1100">
        <f>655+784</f>
        <v>1439</v>
      </c>
      <c r="I6" s="1122">
        <f>IF(G6-H6&lt;0,0,G6-H6)</f>
        <v>0</v>
      </c>
      <c r="J6" s="1124"/>
      <c r="K6" s="1100">
        <v>0</v>
      </c>
      <c r="L6" s="1122">
        <v>140</v>
      </c>
      <c r="M6" s="1124"/>
      <c r="N6" s="1100">
        <v>350</v>
      </c>
      <c r="O6" s="1122"/>
      <c r="P6" s="1124"/>
      <c r="Q6" s="1100">
        <v>59</v>
      </c>
      <c r="R6" s="1122"/>
      <c r="S6" s="1124"/>
      <c r="T6" s="1100"/>
      <c r="U6" s="1122"/>
      <c r="V6" s="1124"/>
      <c r="W6" s="1100"/>
      <c r="X6" s="1122"/>
      <c r="Y6" s="1124"/>
      <c r="Z6" s="1100"/>
      <c r="AA6" s="1122"/>
      <c r="AB6" s="1124"/>
      <c r="AC6" s="1100">
        <v>3</v>
      </c>
      <c r="AD6" s="1122"/>
      <c r="AE6" s="1124">
        <f>ROUND(C6*0.7/1000,1)</f>
        <v>5.0999999999999996</v>
      </c>
      <c r="AF6" s="1100">
        <v>3.02</v>
      </c>
      <c r="AG6" s="1122">
        <f>IF(AE6-AF6&lt;0,0,AE6-AF6)</f>
        <v>2.0799999999999996</v>
      </c>
      <c r="AH6" s="1124">
        <f>ROUND(C6*80/1000,0)</f>
        <v>579</v>
      </c>
      <c r="AI6" s="1100">
        <f>174+276+300+171.5</f>
        <v>921.5</v>
      </c>
      <c r="AJ6" s="1122">
        <f>IF(AH6-AI6&lt;0,0,AH6-AI6)</f>
        <v>0</v>
      </c>
      <c r="AK6" s="1124">
        <f>ROUND(C6*80/1000,0)</f>
        <v>579</v>
      </c>
      <c r="AL6" s="1100">
        <v>380</v>
      </c>
      <c r="AM6" s="1122">
        <v>250</v>
      </c>
      <c r="AN6" s="1124">
        <f>ROUND(C6*6/1000,0)</f>
        <v>43</v>
      </c>
      <c r="AO6" s="1100">
        <v>0</v>
      </c>
      <c r="AP6" s="1122">
        <f>IF(AN6-AO6&lt;0,0,AN6-AO6)</f>
        <v>43</v>
      </c>
      <c r="AQ6" s="1124">
        <f>ROUND(C6*300/1000,0)</f>
        <v>2170</v>
      </c>
      <c r="AR6" s="1105"/>
      <c r="AS6" s="1122"/>
      <c r="AT6" s="1124">
        <f>ROUND(C6*40/1000,0)</f>
        <v>289</v>
      </c>
      <c r="AU6" s="1100">
        <v>80</v>
      </c>
      <c r="AV6" s="1122">
        <v>210</v>
      </c>
      <c r="AW6" s="1124">
        <f t="shared" ref="AW6:AW54" si="5">ROUND(C6*7/1000,0)</f>
        <v>51</v>
      </c>
      <c r="AX6" s="1100">
        <v>8</v>
      </c>
      <c r="AY6" s="1122">
        <v>45</v>
      </c>
      <c r="AZ6" s="1124">
        <f>ROUND(C6*60/1000,0)</f>
        <v>434</v>
      </c>
      <c r="BA6" s="1100"/>
      <c r="BB6" s="1122">
        <v>700</v>
      </c>
      <c r="BC6" s="1136">
        <f>ROUND(C6*3.5/1000,1)</f>
        <v>25.3</v>
      </c>
      <c r="BD6" s="1130"/>
      <c r="BE6" s="1130">
        <v>50</v>
      </c>
      <c r="BF6" s="1131">
        <f>ROUND(C6*7/1000,0)</f>
        <v>51</v>
      </c>
      <c r="BG6" s="1100">
        <v>21</v>
      </c>
      <c r="BH6" s="1122">
        <v>30</v>
      </c>
      <c r="BI6" s="1124"/>
      <c r="BJ6" s="1100">
        <v>1</v>
      </c>
      <c r="BK6" s="1122"/>
      <c r="BL6" s="1124"/>
      <c r="BM6" s="1100">
        <v>1</v>
      </c>
      <c r="BN6" s="1122"/>
      <c r="BO6" s="1124">
        <f>ROUND(C6*1/1000,0)</f>
        <v>7</v>
      </c>
      <c r="BP6" s="1100">
        <v>8</v>
      </c>
      <c r="BQ6" s="1122"/>
      <c r="BR6" s="1124"/>
      <c r="BS6" s="1100">
        <v>2</v>
      </c>
      <c r="BT6" s="1122"/>
      <c r="BU6" s="1124">
        <f>ROUND(C6*6/1000,0)</f>
        <v>43</v>
      </c>
      <c r="BV6" s="1100"/>
      <c r="BW6" s="1122">
        <v>45</v>
      </c>
      <c r="BX6" s="1126">
        <f>ROUND(C6*0.24/1000,1)</f>
        <v>1.7</v>
      </c>
      <c r="BY6" s="1108">
        <v>10</v>
      </c>
      <c r="BZ6" s="1122">
        <f>IF(BX6-BY6&lt;0,0,BX6-BY6)</f>
        <v>0</v>
      </c>
      <c r="CA6" s="227"/>
      <c r="CB6" s="227"/>
      <c r="CC6" s="227"/>
      <c r="CD6" s="227"/>
      <c r="CE6" s="227"/>
      <c r="CF6" s="227"/>
      <c r="CG6" s="227"/>
      <c r="CH6" s="227"/>
      <c r="CI6" s="227"/>
      <c r="CJ6" s="227"/>
      <c r="CK6" s="227"/>
      <c r="CL6" s="227"/>
      <c r="CM6" s="227"/>
      <c r="CN6" s="227"/>
      <c r="CO6" s="227"/>
      <c r="CP6" s="227"/>
      <c r="CQ6" s="227"/>
      <c r="CR6" s="227"/>
      <c r="CS6" s="227"/>
      <c r="CT6" s="227"/>
      <c r="CU6" s="227"/>
    </row>
    <row r="7" spans="1:103" s="576" customFormat="1" ht="15.75">
      <c r="A7" s="993"/>
      <c r="B7" s="994" t="s">
        <v>689</v>
      </c>
      <c r="C7" s="1116">
        <f>'проект числ-сть'!M6</f>
        <v>824</v>
      </c>
      <c r="D7" s="1119">
        <f>D8+D9+D10+D11</f>
        <v>82</v>
      </c>
      <c r="E7" s="992">
        <f t="shared" ref="E7:F7" si="6">E8+E9+E10+E11</f>
        <v>40</v>
      </c>
      <c r="F7" s="1120">
        <f t="shared" si="6"/>
        <v>40</v>
      </c>
      <c r="G7" s="1119">
        <f t="shared" ref="G7:BS7" si="7">G8+G9+G10+G11</f>
        <v>148</v>
      </c>
      <c r="H7" s="992">
        <f t="shared" si="7"/>
        <v>250</v>
      </c>
      <c r="I7" s="1120">
        <f t="shared" si="7"/>
        <v>0</v>
      </c>
      <c r="J7" s="1119">
        <f t="shared" si="7"/>
        <v>0</v>
      </c>
      <c r="K7" s="992">
        <f t="shared" si="7"/>
        <v>0</v>
      </c>
      <c r="L7" s="1120">
        <f t="shared" si="7"/>
        <v>0</v>
      </c>
      <c r="M7" s="1119">
        <f t="shared" si="7"/>
        <v>0</v>
      </c>
      <c r="N7" s="992">
        <f t="shared" si="7"/>
        <v>100</v>
      </c>
      <c r="O7" s="1120">
        <f t="shared" si="7"/>
        <v>0</v>
      </c>
      <c r="P7" s="1119">
        <f t="shared" si="7"/>
        <v>0</v>
      </c>
      <c r="Q7" s="992">
        <f t="shared" si="7"/>
        <v>15</v>
      </c>
      <c r="R7" s="1120">
        <f t="shared" si="7"/>
        <v>0</v>
      </c>
      <c r="S7" s="1119">
        <f t="shared" si="7"/>
        <v>0</v>
      </c>
      <c r="T7" s="992">
        <f t="shared" si="7"/>
        <v>1</v>
      </c>
      <c r="U7" s="1120">
        <f t="shared" si="7"/>
        <v>0</v>
      </c>
      <c r="V7" s="1119">
        <f t="shared" si="7"/>
        <v>0</v>
      </c>
      <c r="W7" s="992">
        <f t="shared" si="7"/>
        <v>0</v>
      </c>
      <c r="X7" s="1120">
        <f t="shared" si="7"/>
        <v>0</v>
      </c>
      <c r="Y7" s="1119">
        <f t="shared" si="7"/>
        <v>0</v>
      </c>
      <c r="Z7" s="992">
        <f t="shared" si="7"/>
        <v>0</v>
      </c>
      <c r="AA7" s="1120">
        <f t="shared" si="7"/>
        <v>0</v>
      </c>
      <c r="AB7" s="1119">
        <f t="shared" si="7"/>
        <v>0</v>
      </c>
      <c r="AC7" s="992">
        <f t="shared" si="7"/>
        <v>1</v>
      </c>
      <c r="AD7" s="1120">
        <f t="shared" si="7"/>
        <v>1</v>
      </c>
      <c r="AE7" s="1119">
        <f t="shared" si="7"/>
        <v>0.6</v>
      </c>
      <c r="AF7" s="992" t="s">
        <v>890</v>
      </c>
      <c r="AG7" s="1120">
        <f t="shared" si="7"/>
        <v>0.6</v>
      </c>
      <c r="AH7" s="1119">
        <f t="shared" si="7"/>
        <v>66</v>
      </c>
      <c r="AI7" s="992">
        <f t="shared" si="7"/>
        <v>0</v>
      </c>
      <c r="AJ7" s="1120">
        <f t="shared" si="7"/>
        <v>66</v>
      </c>
      <c r="AK7" s="1119">
        <f t="shared" si="7"/>
        <v>247</v>
      </c>
      <c r="AL7" s="992">
        <f t="shared" si="7"/>
        <v>0</v>
      </c>
      <c r="AM7" s="1120">
        <f t="shared" si="7"/>
        <v>250</v>
      </c>
      <c r="AN7" s="1119">
        <f t="shared" si="7"/>
        <v>5</v>
      </c>
      <c r="AO7" s="992">
        <f t="shared" si="7"/>
        <v>25</v>
      </c>
      <c r="AP7" s="1120">
        <f t="shared" si="7"/>
        <v>0</v>
      </c>
      <c r="AQ7" s="1119">
        <f t="shared" si="7"/>
        <v>247</v>
      </c>
      <c r="AR7" s="992" t="s">
        <v>890</v>
      </c>
      <c r="AS7" s="1120">
        <f t="shared" ref="AS7" si="8">AS8+AS9+AS10+AS11</f>
        <v>10</v>
      </c>
      <c r="AT7" s="1119">
        <f t="shared" si="7"/>
        <v>34</v>
      </c>
      <c r="AU7" s="992">
        <f t="shared" si="7"/>
        <v>0</v>
      </c>
      <c r="AV7" s="1120">
        <f t="shared" si="7"/>
        <v>35</v>
      </c>
      <c r="AW7" s="992">
        <f t="shared" si="7"/>
        <v>6</v>
      </c>
      <c r="AX7" s="992">
        <f t="shared" si="7"/>
        <v>0</v>
      </c>
      <c r="AY7" s="1120">
        <f t="shared" si="7"/>
        <v>6</v>
      </c>
      <c r="AZ7" s="1119">
        <f t="shared" si="7"/>
        <v>49</v>
      </c>
      <c r="BA7" s="992">
        <f t="shared" si="7"/>
        <v>0</v>
      </c>
      <c r="BB7" s="1120">
        <f t="shared" si="7"/>
        <v>80</v>
      </c>
      <c r="BC7" s="1135">
        <f t="shared" si="7"/>
        <v>2.9</v>
      </c>
      <c r="BD7" s="992">
        <f t="shared" si="7"/>
        <v>0</v>
      </c>
      <c r="BE7" s="992">
        <f t="shared" si="7"/>
        <v>0</v>
      </c>
      <c r="BF7" s="1137">
        <f t="shared" si="7"/>
        <v>6</v>
      </c>
      <c r="BG7" s="992">
        <f t="shared" si="7"/>
        <v>0</v>
      </c>
      <c r="BH7" s="1120">
        <f t="shared" si="7"/>
        <v>8</v>
      </c>
      <c r="BI7" s="1119">
        <f t="shared" si="7"/>
        <v>0</v>
      </c>
      <c r="BJ7" s="992">
        <f t="shared" si="7"/>
        <v>1</v>
      </c>
      <c r="BK7" s="1120">
        <f t="shared" si="7"/>
        <v>0</v>
      </c>
      <c r="BL7" s="1119">
        <f t="shared" si="7"/>
        <v>0</v>
      </c>
      <c r="BM7" s="992">
        <f t="shared" si="7"/>
        <v>1</v>
      </c>
      <c r="BN7" s="1120">
        <f t="shared" si="7"/>
        <v>0</v>
      </c>
      <c r="BO7" s="992">
        <f t="shared" si="7"/>
        <v>1</v>
      </c>
      <c r="BP7" s="992">
        <f t="shared" si="7"/>
        <v>1</v>
      </c>
      <c r="BQ7" s="1120">
        <f t="shared" si="7"/>
        <v>0</v>
      </c>
      <c r="BR7" s="1119">
        <f t="shared" si="7"/>
        <v>0</v>
      </c>
      <c r="BS7" s="992">
        <f t="shared" si="7"/>
        <v>1</v>
      </c>
      <c r="BT7" s="1120">
        <f t="shared" ref="BT7" si="9">BT8+BT9+BT10+BT11</f>
        <v>0</v>
      </c>
      <c r="BU7" s="1119">
        <f t="shared" ref="BU7:BZ7" si="10">BU8+BU9+BU10+BU11</f>
        <v>5</v>
      </c>
      <c r="BV7" s="992">
        <f t="shared" si="10"/>
        <v>0</v>
      </c>
      <c r="BW7" s="1120">
        <f t="shared" si="10"/>
        <v>5</v>
      </c>
      <c r="BX7" s="1125">
        <f t="shared" si="10"/>
        <v>0.2</v>
      </c>
      <c r="BY7" s="1107">
        <f t="shared" si="10"/>
        <v>14</v>
      </c>
      <c r="BZ7" s="1120">
        <f t="shared" si="10"/>
        <v>0</v>
      </c>
      <c r="CA7" s="227"/>
      <c r="CB7" s="227"/>
      <c r="CC7" s="227"/>
      <c r="CD7" s="227"/>
      <c r="CE7" s="227"/>
      <c r="CF7" s="227"/>
      <c r="CG7" s="227"/>
      <c r="CH7" s="227"/>
      <c r="CI7" s="227"/>
      <c r="CJ7" s="227"/>
      <c r="CK7" s="227"/>
      <c r="CL7" s="227"/>
      <c r="CM7" s="227"/>
      <c r="CN7" s="227"/>
      <c r="CO7" s="227"/>
      <c r="CP7" s="227"/>
      <c r="CQ7" s="227"/>
      <c r="CR7" s="227"/>
      <c r="CS7" s="227"/>
      <c r="CT7" s="227"/>
      <c r="CU7" s="227"/>
    </row>
    <row r="8" spans="1:103" ht="15.75">
      <c r="A8" s="995">
        <v>2</v>
      </c>
      <c r="B8" s="725" t="s">
        <v>299</v>
      </c>
      <c r="C8" s="1117">
        <f>'проект числ-сть'!M7</f>
        <v>791</v>
      </c>
      <c r="D8" s="1121">
        <f t="shared" ref="D8:D54" si="11">ROUND(C8/1000*100,0)</f>
        <v>79</v>
      </c>
      <c r="E8" s="1100">
        <v>40</v>
      </c>
      <c r="F8" s="1122">
        <v>40</v>
      </c>
      <c r="G8" s="1121">
        <f t="shared" ref="G8:G54" si="12">ROUND(C8*180/1000,0)</f>
        <v>142</v>
      </c>
      <c r="H8" s="1100">
        <v>250</v>
      </c>
      <c r="I8" s="1122"/>
      <c r="J8" s="1124"/>
      <c r="K8" s="1100"/>
      <c r="L8" s="1122"/>
      <c r="M8" s="1124"/>
      <c r="N8" s="1100">
        <v>100</v>
      </c>
      <c r="O8" s="1122"/>
      <c r="P8" s="1124"/>
      <c r="Q8" s="1100">
        <v>15</v>
      </c>
      <c r="R8" s="1122"/>
      <c r="S8" s="1124"/>
      <c r="T8" s="1100"/>
      <c r="U8" s="1122"/>
      <c r="V8" s="1124"/>
      <c r="W8" s="1100"/>
      <c r="X8" s="1122"/>
      <c r="Y8" s="1124"/>
      <c r="Z8" s="1100"/>
      <c r="AA8" s="1122"/>
      <c r="AB8" s="1124"/>
      <c r="AC8" s="1100">
        <v>1</v>
      </c>
      <c r="AD8" s="1122"/>
      <c r="AE8" s="1124">
        <f t="shared" ref="AE8:AE54" si="13">ROUND(C8*0.7/1000,1)</f>
        <v>0.6</v>
      </c>
      <c r="AF8" s="1100"/>
      <c r="AG8" s="1122">
        <f t="shared" ref="AG8:AG54" si="14">IF(AE8-AF8&lt;0,0,AE8-AF8)</f>
        <v>0.6</v>
      </c>
      <c r="AH8" s="1124">
        <f t="shared" ref="AH8:AH54" si="15">ROUND(C8*80/1000,0)</f>
        <v>63</v>
      </c>
      <c r="AI8" s="1100">
        <v>0</v>
      </c>
      <c r="AJ8" s="1122">
        <f t="shared" ref="AJ8:AJ54" si="16">IF(AH8-AI8&lt;0,0,AH8-AI8)</f>
        <v>63</v>
      </c>
      <c r="AK8" s="1124">
        <f t="shared" ref="AK8:AK54" si="17">ROUND(C8*300/1000,0)</f>
        <v>237</v>
      </c>
      <c r="AL8" s="1100">
        <v>0</v>
      </c>
      <c r="AM8" s="1122">
        <v>250</v>
      </c>
      <c r="AN8" s="1124">
        <f t="shared" ref="AN8:AN54" si="18">ROUND(C8*6/1000,0)</f>
        <v>5</v>
      </c>
      <c r="AO8" s="1100">
        <v>25</v>
      </c>
      <c r="AP8" s="1122">
        <f t="shared" ref="AP8:AP54" si="19">IF(AN8-AO8&lt;0,0,AN8-AO8)</f>
        <v>0</v>
      </c>
      <c r="AQ8" s="1124">
        <f t="shared" ref="AQ8:AQ54" si="20">ROUND(C8*300/1000,0)</f>
        <v>237</v>
      </c>
      <c r="AR8" s="1105"/>
      <c r="AS8" s="1122"/>
      <c r="AT8" s="1124">
        <f t="shared" ref="AT8:AT54" si="21">ROUND(C8*40/1000,0)</f>
        <v>32</v>
      </c>
      <c r="AU8" s="1100"/>
      <c r="AV8" s="1122">
        <v>35</v>
      </c>
      <c r="AW8" s="1124">
        <f t="shared" si="5"/>
        <v>6</v>
      </c>
      <c r="AX8" s="1100"/>
      <c r="AY8" s="1122">
        <v>6</v>
      </c>
      <c r="AZ8" s="1124">
        <f t="shared" ref="AZ8:AZ54" si="22">ROUND(C8*60/1000,0)</f>
        <v>47</v>
      </c>
      <c r="BA8" s="1100"/>
      <c r="BB8" s="1122">
        <v>80</v>
      </c>
      <c r="BC8" s="1136">
        <f t="shared" ref="BC8:BC54" si="23">ROUND(C8*3.5/1000,1)</f>
        <v>2.8</v>
      </c>
      <c r="BD8" s="1130"/>
      <c r="BE8" s="1130"/>
      <c r="BF8" s="1131">
        <f t="shared" ref="BF8:BF54" si="24">ROUND(C8*7/1000,0)</f>
        <v>6</v>
      </c>
      <c r="BG8" s="1100"/>
      <c r="BH8" s="1122">
        <v>8</v>
      </c>
      <c r="BI8" s="1124"/>
      <c r="BJ8" s="1100">
        <v>1</v>
      </c>
      <c r="BK8" s="1122"/>
      <c r="BL8" s="1124"/>
      <c r="BM8" s="1100">
        <v>1</v>
      </c>
      <c r="BN8" s="1122"/>
      <c r="BO8" s="1124">
        <f>ROUND(C8*1/1000,0)</f>
        <v>1</v>
      </c>
      <c r="BP8" s="1100">
        <v>1</v>
      </c>
      <c r="BQ8" s="1122"/>
      <c r="BR8" s="1124"/>
      <c r="BS8" s="1100">
        <v>1</v>
      </c>
      <c r="BT8" s="1122"/>
      <c r="BU8" s="1124">
        <f t="shared" ref="BU8:BU54" si="25">ROUND(C8*6/1000,0)</f>
        <v>5</v>
      </c>
      <c r="BV8" s="1100"/>
      <c r="BW8" s="1122">
        <v>5</v>
      </c>
      <c r="BX8" s="1126">
        <f t="shared" ref="BX8:BX54" si="26">ROUND(C8*0.24/1000,1)</f>
        <v>0.2</v>
      </c>
      <c r="BY8" s="1108">
        <v>10</v>
      </c>
      <c r="BZ8" s="1122">
        <f t="shared" ref="BZ8:BZ54" si="27">IF(BX8-BY8&lt;0,0,BX8-BY8)</f>
        <v>0</v>
      </c>
      <c r="CV8" s="30"/>
      <c r="CW8" s="30"/>
      <c r="CX8" s="30"/>
      <c r="CY8" s="30"/>
    </row>
    <row r="9" spans="1:103" ht="15.75">
      <c r="A9" s="995">
        <v>3</v>
      </c>
      <c r="B9" s="725" t="s">
        <v>225</v>
      </c>
      <c r="C9" s="1117">
        <f>'проект числ-сть'!M8</f>
        <v>0</v>
      </c>
      <c r="D9" s="1121">
        <f t="shared" si="11"/>
        <v>0</v>
      </c>
      <c r="E9" s="1100"/>
      <c r="F9" s="1122"/>
      <c r="G9" s="1121">
        <f t="shared" si="12"/>
        <v>0</v>
      </c>
      <c r="H9" s="1100"/>
      <c r="I9" s="1122"/>
      <c r="J9" s="1124"/>
      <c r="K9" s="1100"/>
      <c r="L9" s="1122"/>
      <c r="M9" s="1124"/>
      <c r="N9" s="1100"/>
      <c r="O9" s="1122"/>
      <c r="P9" s="1124"/>
      <c r="Q9" s="1100"/>
      <c r="R9" s="1122"/>
      <c r="S9" s="1124"/>
      <c r="T9" s="1100"/>
      <c r="U9" s="1122"/>
      <c r="V9" s="1124"/>
      <c r="W9" s="1100"/>
      <c r="X9" s="1122"/>
      <c r="Y9" s="1124"/>
      <c r="Z9" s="1100"/>
      <c r="AA9" s="1122"/>
      <c r="AB9" s="1124"/>
      <c r="AC9" s="1100"/>
      <c r="AD9" s="1122"/>
      <c r="AE9" s="1124">
        <f t="shared" si="13"/>
        <v>0</v>
      </c>
      <c r="AF9" s="1100"/>
      <c r="AG9" s="1122">
        <f t="shared" si="14"/>
        <v>0</v>
      </c>
      <c r="AH9" s="1124">
        <f t="shared" si="15"/>
        <v>0</v>
      </c>
      <c r="AI9" s="1100"/>
      <c r="AJ9" s="1122">
        <f t="shared" si="16"/>
        <v>0</v>
      </c>
      <c r="AK9" s="1124">
        <f t="shared" si="17"/>
        <v>0</v>
      </c>
      <c r="AL9" s="1100"/>
      <c r="AM9" s="1122"/>
      <c r="AN9" s="1124">
        <f t="shared" si="18"/>
        <v>0</v>
      </c>
      <c r="AO9" s="1100"/>
      <c r="AP9" s="1122">
        <f t="shared" si="19"/>
        <v>0</v>
      </c>
      <c r="AQ9" s="1124">
        <f t="shared" si="20"/>
        <v>0</v>
      </c>
      <c r="AR9" s="1105"/>
      <c r="AS9" s="1122"/>
      <c r="AT9" s="1124">
        <f t="shared" si="21"/>
        <v>0</v>
      </c>
      <c r="AU9" s="1100"/>
      <c r="AV9" s="1122"/>
      <c r="AW9" s="1124">
        <f t="shared" si="5"/>
        <v>0</v>
      </c>
      <c r="AX9" s="1100"/>
      <c r="AY9" s="1122"/>
      <c r="AZ9" s="1124">
        <f t="shared" si="22"/>
        <v>0</v>
      </c>
      <c r="BA9" s="1100"/>
      <c r="BB9" s="1122"/>
      <c r="BC9" s="1136">
        <f t="shared" si="23"/>
        <v>0</v>
      </c>
      <c r="BD9" s="1130"/>
      <c r="BE9" s="1130"/>
      <c r="BF9" s="1131">
        <f t="shared" si="24"/>
        <v>0</v>
      </c>
      <c r="BG9" s="1100"/>
      <c r="BH9" s="1122"/>
      <c r="BI9" s="1124"/>
      <c r="BJ9" s="1100"/>
      <c r="BK9" s="1122"/>
      <c r="BL9" s="1124"/>
      <c r="BM9" s="1100"/>
      <c r="BN9" s="1122"/>
      <c r="BO9" s="1124">
        <f t="shared" ref="BO9:BO11" si="28">ROUND(C9*1/1000,0)</f>
        <v>0</v>
      </c>
      <c r="BP9" s="1100"/>
      <c r="BQ9" s="1122"/>
      <c r="BR9" s="1124"/>
      <c r="BS9" s="1100"/>
      <c r="BT9" s="1122"/>
      <c r="BU9" s="1124">
        <f t="shared" si="25"/>
        <v>0</v>
      </c>
      <c r="BV9" s="1100"/>
      <c r="BW9" s="1122"/>
      <c r="BX9" s="1126">
        <f t="shared" si="26"/>
        <v>0</v>
      </c>
      <c r="BY9" s="1108">
        <v>1.5</v>
      </c>
      <c r="BZ9" s="1122">
        <f t="shared" si="27"/>
        <v>0</v>
      </c>
      <c r="CV9" s="30"/>
      <c r="CW9" s="30"/>
      <c r="CX9" s="30"/>
      <c r="CY9" s="30"/>
    </row>
    <row r="10" spans="1:103" ht="15.75">
      <c r="A10" s="995">
        <v>4</v>
      </c>
      <c r="B10" s="725" t="s">
        <v>301</v>
      </c>
      <c r="C10" s="1117">
        <f>'проект числ-сть'!M9</f>
        <v>14</v>
      </c>
      <c r="D10" s="1121">
        <f t="shared" si="11"/>
        <v>1</v>
      </c>
      <c r="E10" s="1100"/>
      <c r="F10" s="1122"/>
      <c r="G10" s="1121">
        <f t="shared" si="12"/>
        <v>3</v>
      </c>
      <c r="H10" s="1100"/>
      <c r="I10" s="1122"/>
      <c r="J10" s="1124"/>
      <c r="K10" s="1100"/>
      <c r="L10" s="1122"/>
      <c r="M10" s="1124"/>
      <c r="N10" s="1100"/>
      <c r="O10" s="1122"/>
      <c r="P10" s="1124"/>
      <c r="Q10" s="1100"/>
      <c r="R10" s="1122"/>
      <c r="S10" s="1124"/>
      <c r="T10" s="1100">
        <v>1</v>
      </c>
      <c r="U10" s="1122"/>
      <c r="V10" s="1124"/>
      <c r="W10" s="1100"/>
      <c r="X10" s="1122"/>
      <c r="Y10" s="1124"/>
      <c r="Z10" s="1100"/>
      <c r="AA10" s="1122"/>
      <c r="AB10" s="1124"/>
      <c r="AC10" s="1100"/>
      <c r="AD10" s="1122">
        <v>1</v>
      </c>
      <c r="AE10" s="1124">
        <f t="shared" si="13"/>
        <v>0</v>
      </c>
      <c r="AF10" s="1100"/>
      <c r="AG10" s="1122">
        <f t="shared" si="14"/>
        <v>0</v>
      </c>
      <c r="AH10" s="1124">
        <f t="shared" si="15"/>
        <v>1</v>
      </c>
      <c r="AI10" s="1100"/>
      <c r="AJ10" s="1122">
        <f t="shared" si="16"/>
        <v>1</v>
      </c>
      <c r="AK10" s="1124">
        <f t="shared" si="17"/>
        <v>4</v>
      </c>
      <c r="AL10" s="1100">
        <v>0</v>
      </c>
      <c r="AM10" s="1122"/>
      <c r="AN10" s="1124">
        <f t="shared" si="18"/>
        <v>0</v>
      </c>
      <c r="AO10" s="1100"/>
      <c r="AP10" s="1122">
        <f t="shared" si="19"/>
        <v>0</v>
      </c>
      <c r="AQ10" s="1124">
        <f t="shared" si="20"/>
        <v>4</v>
      </c>
      <c r="AR10" s="1105"/>
      <c r="AS10" s="1122"/>
      <c r="AT10" s="1124">
        <f t="shared" si="21"/>
        <v>1</v>
      </c>
      <c r="AU10" s="1100"/>
      <c r="AV10" s="1122"/>
      <c r="AW10" s="1124">
        <f t="shared" si="5"/>
        <v>0</v>
      </c>
      <c r="AX10" s="1100"/>
      <c r="AY10" s="1122"/>
      <c r="AZ10" s="1124">
        <f t="shared" si="22"/>
        <v>1</v>
      </c>
      <c r="BA10" s="1100"/>
      <c r="BB10" s="1122"/>
      <c r="BC10" s="1136">
        <f t="shared" si="23"/>
        <v>0</v>
      </c>
      <c r="BD10" s="1130"/>
      <c r="BE10" s="1130"/>
      <c r="BF10" s="1131">
        <f t="shared" si="24"/>
        <v>0</v>
      </c>
      <c r="BG10" s="1100"/>
      <c r="BH10" s="1122"/>
      <c r="BI10" s="1124"/>
      <c r="BJ10" s="1100"/>
      <c r="BK10" s="1122"/>
      <c r="BL10" s="1124"/>
      <c r="BM10" s="1100"/>
      <c r="BN10" s="1122"/>
      <c r="BO10" s="1124">
        <f t="shared" si="28"/>
        <v>0</v>
      </c>
      <c r="BP10" s="1100"/>
      <c r="BQ10" s="1122"/>
      <c r="BR10" s="1124"/>
      <c r="BS10" s="1100"/>
      <c r="BT10" s="1122"/>
      <c r="BU10" s="1124">
        <f t="shared" si="25"/>
        <v>0</v>
      </c>
      <c r="BV10" s="1100"/>
      <c r="BW10" s="1122"/>
      <c r="BX10" s="1126">
        <f t="shared" si="26"/>
        <v>0</v>
      </c>
      <c r="BY10" s="1108">
        <v>1.5</v>
      </c>
      <c r="BZ10" s="1122">
        <f t="shared" si="27"/>
        <v>0</v>
      </c>
      <c r="CV10" s="30"/>
      <c r="CW10" s="30"/>
      <c r="CX10" s="30"/>
      <c r="CY10" s="30"/>
    </row>
    <row r="11" spans="1:103" ht="15.75">
      <c r="A11" s="995">
        <v>5</v>
      </c>
      <c r="B11" s="725" t="s">
        <v>300</v>
      </c>
      <c r="C11" s="1117">
        <f>'проект числ-сть'!M10</f>
        <v>19</v>
      </c>
      <c r="D11" s="1121">
        <f t="shared" si="11"/>
        <v>2</v>
      </c>
      <c r="E11" s="1100"/>
      <c r="F11" s="1122"/>
      <c r="G11" s="1121">
        <f t="shared" si="12"/>
        <v>3</v>
      </c>
      <c r="H11" s="1100"/>
      <c r="I11" s="1122"/>
      <c r="J11" s="1124"/>
      <c r="K11" s="1100"/>
      <c r="L11" s="1122"/>
      <c r="M11" s="1124"/>
      <c r="N11" s="1100"/>
      <c r="O11" s="1122"/>
      <c r="P11" s="1124"/>
      <c r="Q11" s="1100"/>
      <c r="R11" s="1122"/>
      <c r="S11" s="1124"/>
      <c r="T11" s="1100"/>
      <c r="U11" s="1122"/>
      <c r="V11" s="1124"/>
      <c r="W11" s="1100"/>
      <c r="X11" s="1122"/>
      <c r="Y11" s="1124"/>
      <c r="Z11" s="1100"/>
      <c r="AA11" s="1122"/>
      <c r="AB11" s="1124"/>
      <c r="AC11" s="1100"/>
      <c r="AD11" s="1122"/>
      <c r="AE11" s="1124">
        <f t="shared" si="13"/>
        <v>0</v>
      </c>
      <c r="AF11" s="1100"/>
      <c r="AG11" s="1122">
        <f t="shared" si="14"/>
        <v>0</v>
      </c>
      <c r="AH11" s="1124">
        <f t="shared" si="15"/>
        <v>2</v>
      </c>
      <c r="AI11" s="1100"/>
      <c r="AJ11" s="1122">
        <f t="shared" si="16"/>
        <v>2</v>
      </c>
      <c r="AK11" s="1124">
        <f t="shared" si="17"/>
        <v>6</v>
      </c>
      <c r="AL11" s="1100">
        <v>0</v>
      </c>
      <c r="AM11" s="1122"/>
      <c r="AN11" s="1124">
        <f t="shared" si="18"/>
        <v>0</v>
      </c>
      <c r="AO11" s="1100"/>
      <c r="AP11" s="1122">
        <f t="shared" si="19"/>
        <v>0</v>
      </c>
      <c r="AQ11" s="1124">
        <f t="shared" si="20"/>
        <v>6</v>
      </c>
      <c r="AR11" s="1105"/>
      <c r="AS11" s="1122">
        <v>10</v>
      </c>
      <c r="AT11" s="1124">
        <f t="shared" si="21"/>
        <v>1</v>
      </c>
      <c r="AU11" s="1100"/>
      <c r="AV11" s="1122"/>
      <c r="AW11" s="1124">
        <f t="shared" si="5"/>
        <v>0</v>
      </c>
      <c r="AX11" s="1100"/>
      <c r="AY11" s="1122"/>
      <c r="AZ11" s="1124">
        <f t="shared" si="22"/>
        <v>1</v>
      </c>
      <c r="BA11" s="1100"/>
      <c r="BB11" s="1122"/>
      <c r="BC11" s="1136">
        <f t="shared" si="23"/>
        <v>0.1</v>
      </c>
      <c r="BD11" s="1130"/>
      <c r="BE11" s="1130"/>
      <c r="BF11" s="1131">
        <f t="shared" si="24"/>
        <v>0</v>
      </c>
      <c r="BG11" s="1100"/>
      <c r="BH11" s="1122"/>
      <c r="BI11" s="1124"/>
      <c r="BJ11" s="1100"/>
      <c r="BK11" s="1122"/>
      <c r="BL11" s="1124"/>
      <c r="BM11" s="1100"/>
      <c r="BN11" s="1122"/>
      <c r="BO11" s="1124">
        <f t="shared" si="28"/>
        <v>0</v>
      </c>
      <c r="BP11" s="1100"/>
      <c r="BQ11" s="1122"/>
      <c r="BR11" s="1124"/>
      <c r="BS11" s="1100"/>
      <c r="BT11" s="1122"/>
      <c r="BU11" s="1124">
        <f t="shared" si="25"/>
        <v>0</v>
      </c>
      <c r="BV11" s="1100"/>
      <c r="BW11" s="1122"/>
      <c r="BX11" s="1126">
        <f t="shared" si="26"/>
        <v>0</v>
      </c>
      <c r="BY11" s="1108">
        <v>1</v>
      </c>
      <c r="BZ11" s="1122">
        <f t="shared" si="27"/>
        <v>0</v>
      </c>
      <c r="CV11" s="30"/>
      <c r="CW11" s="30"/>
      <c r="CX11" s="30"/>
      <c r="CY11" s="30"/>
    </row>
    <row r="12" spans="1:103" s="576" customFormat="1" ht="15.75">
      <c r="A12" s="993"/>
      <c r="B12" s="994" t="s">
        <v>254</v>
      </c>
      <c r="C12" s="1116">
        <f>'проект числ-сть'!M11</f>
        <v>240</v>
      </c>
      <c r="D12" s="1119">
        <f>D13+D14</f>
        <v>24</v>
      </c>
      <c r="E12" s="992">
        <f t="shared" ref="E12:F12" si="29">E13+E14</f>
        <v>0</v>
      </c>
      <c r="F12" s="1120">
        <f t="shared" si="29"/>
        <v>30</v>
      </c>
      <c r="G12" s="1119">
        <f t="shared" ref="G12:BS12" si="30">G13+G14</f>
        <v>43</v>
      </c>
      <c r="H12" s="992">
        <f t="shared" si="30"/>
        <v>0</v>
      </c>
      <c r="I12" s="1120">
        <f t="shared" si="30"/>
        <v>0</v>
      </c>
      <c r="J12" s="1119">
        <f t="shared" si="30"/>
        <v>0</v>
      </c>
      <c r="K12" s="992">
        <f t="shared" si="30"/>
        <v>0</v>
      </c>
      <c r="L12" s="1120">
        <f t="shared" si="30"/>
        <v>0</v>
      </c>
      <c r="M12" s="1119">
        <f t="shared" si="30"/>
        <v>0</v>
      </c>
      <c r="N12" s="992">
        <f t="shared" si="30"/>
        <v>0</v>
      </c>
      <c r="O12" s="1120">
        <f t="shared" si="30"/>
        <v>0</v>
      </c>
      <c r="P12" s="1119">
        <f t="shared" si="30"/>
        <v>0</v>
      </c>
      <c r="Q12" s="992">
        <f t="shared" si="30"/>
        <v>0</v>
      </c>
      <c r="R12" s="1120">
        <f t="shared" si="30"/>
        <v>0</v>
      </c>
      <c r="S12" s="1119">
        <f t="shared" si="30"/>
        <v>0</v>
      </c>
      <c r="T12" s="992">
        <f t="shared" si="30"/>
        <v>0</v>
      </c>
      <c r="U12" s="1120">
        <f t="shared" si="30"/>
        <v>0</v>
      </c>
      <c r="V12" s="1119">
        <f t="shared" si="30"/>
        <v>0</v>
      </c>
      <c r="W12" s="992">
        <f t="shared" si="30"/>
        <v>0</v>
      </c>
      <c r="X12" s="1120">
        <f t="shared" si="30"/>
        <v>0</v>
      </c>
      <c r="Y12" s="1119">
        <f t="shared" si="30"/>
        <v>0</v>
      </c>
      <c r="Z12" s="992">
        <f t="shared" si="30"/>
        <v>0</v>
      </c>
      <c r="AA12" s="1120">
        <f t="shared" si="30"/>
        <v>0</v>
      </c>
      <c r="AB12" s="1119">
        <f t="shared" si="30"/>
        <v>0</v>
      </c>
      <c r="AC12" s="992">
        <f t="shared" si="30"/>
        <v>0</v>
      </c>
      <c r="AD12" s="1120">
        <f t="shared" si="30"/>
        <v>0</v>
      </c>
      <c r="AE12" s="1119">
        <f t="shared" si="30"/>
        <v>0.2</v>
      </c>
      <c r="AF12" s="992" t="s">
        <v>890</v>
      </c>
      <c r="AG12" s="1120">
        <f t="shared" si="30"/>
        <v>0.2</v>
      </c>
      <c r="AH12" s="1119">
        <f t="shared" si="30"/>
        <v>19</v>
      </c>
      <c r="AI12" s="992">
        <f t="shared" si="30"/>
        <v>0</v>
      </c>
      <c r="AJ12" s="1120">
        <f t="shared" si="30"/>
        <v>19</v>
      </c>
      <c r="AK12" s="1119">
        <f t="shared" si="30"/>
        <v>72</v>
      </c>
      <c r="AL12" s="992">
        <f t="shared" si="30"/>
        <v>290</v>
      </c>
      <c r="AM12" s="1120">
        <f t="shared" si="30"/>
        <v>0</v>
      </c>
      <c r="AN12" s="1119">
        <f t="shared" si="30"/>
        <v>2</v>
      </c>
      <c r="AO12" s="992" t="s">
        <v>890</v>
      </c>
      <c r="AP12" s="1120" t="s">
        <v>890</v>
      </c>
      <c r="AQ12" s="1119">
        <f t="shared" si="30"/>
        <v>72</v>
      </c>
      <c r="AR12" s="992" t="s">
        <v>890</v>
      </c>
      <c r="AS12" s="1120">
        <f t="shared" ref="AS12" si="31">AS13+AS14</f>
        <v>0</v>
      </c>
      <c r="AT12" s="1119">
        <f t="shared" si="30"/>
        <v>9</v>
      </c>
      <c r="AU12" s="992">
        <f t="shared" si="30"/>
        <v>20</v>
      </c>
      <c r="AV12" s="1120">
        <f t="shared" si="30"/>
        <v>0</v>
      </c>
      <c r="AW12" s="1119">
        <f t="shared" si="30"/>
        <v>2</v>
      </c>
      <c r="AX12" s="992">
        <f t="shared" si="30"/>
        <v>0</v>
      </c>
      <c r="AY12" s="1120">
        <f t="shared" si="30"/>
        <v>2</v>
      </c>
      <c r="AZ12" s="1119">
        <f t="shared" si="30"/>
        <v>14</v>
      </c>
      <c r="BA12" s="992">
        <f t="shared" si="30"/>
        <v>0</v>
      </c>
      <c r="BB12" s="1120">
        <f t="shared" si="30"/>
        <v>0</v>
      </c>
      <c r="BC12" s="1135">
        <f t="shared" si="30"/>
        <v>0.9</v>
      </c>
      <c r="BD12" s="992">
        <f t="shared" si="30"/>
        <v>0</v>
      </c>
      <c r="BE12" s="992">
        <f t="shared" si="30"/>
        <v>0</v>
      </c>
      <c r="BF12" s="1137">
        <f t="shared" si="30"/>
        <v>2</v>
      </c>
      <c r="BG12" s="992">
        <f t="shared" si="30"/>
        <v>0</v>
      </c>
      <c r="BH12" s="1120">
        <f t="shared" si="30"/>
        <v>3</v>
      </c>
      <c r="BI12" s="1119">
        <f t="shared" si="30"/>
        <v>0</v>
      </c>
      <c r="BJ12" s="992">
        <f t="shared" si="30"/>
        <v>0</v>
      </c>
      <c r="BK12" s="1120">
        <f t="shared" si="30"/>
        <v>1</v>
      </c>
      <c r="BL12" s="1119">
        <f t="shared" si="30"/>
        <v>0</v>
      </c>
      <c r="BM12" s="992">
        <f t="shared" si="30"/>
        <v>0</v>
      </c>
      <c r="BN12" s="1120">
        <f t="shared" si="30"/>
        <v>0</v>
      </c>
      <c r="BO12" s="992">
        <f t="shared" si="30"/>
        <v>0</v>
      </c>
      <c r="BP12" s="992">
        <f t="shared" si="30"/>
        <v>0</v>
      </c>
      <c r="BQ12" s="1120">
        <f t="shared" si="30"/>
        <v>0</v>
      </c>
      <c r="BR12" s="1119">
        <f t="shared" si="30"/>
        <v>0</v>
      </c>
      <c r="BS12" s="992">
        <f t="shared" si="30"/>
        <v>1</v>
      </c>
      <c r="BT12" s="1120">
        <f t="shared" ref="BT12" si="32">BT13+BT14</f>
        <v>0</v>
      </c>
      <c r="BU12" s="1119">
        <f t="shared" ref="BU12:BX12" si="33">BU13+BU14</f>
        <v>2</v>
      </c>
      <c r="BV12" s="992">
        <f t="shared" si="33"/>
        <v>0</v>
      </c>
      <c r="BW12" s="1120">
        <f t="shared" si="33"/>
        <v>2</v>
      </c>
      <c r="BX12" s="1125">
        <f t="shared" si="33"/>
        <v>0</v>
      </c>
      <c r="BY12" s="1107" t="s">
        <v>890</v>
      </c>
      <c r="BZ12" s="1127">
        <v>0</v>
      </c>
      <c r="CA12" s="227"/>
      <c r="CB12" s="227"/>
      <c r="CC12" s="227"/>
      <c r="CD12" s="227"/>
      <c r="CE12" s="227"/>
      <c r="CF12" s="227"/>
      <c r="CG12" s="227"/>
      <c r="CH12" s="227"/>
      <c r="CI12" s="227"/>
      <c r="CJ12" s="227"/>
      <c r="CK12" s="227"/>
      <c r="CL12" s="227"/>
      <c r="CM12" s="227"/>
      <c r="CN12" s="227"/>
      <c r="CO12" s="227"/>
      <c r="CP12" s="227"/>
      <c r="CQ12" s="227"/>
      <c r="CR12" s="227"/>
      <c r="CS12" s="227"/>
      <c r="CT12" s="227"/>
      <c r="CU12" s="227"/>
    </row>
    <row r="13" spans="1:103" s="576" customFormat="1" ht="15.75">
      <c r="A13" s="995">
        <v>6</v>
      </c>
      <c r="B13" s="996" t="s">
        <v>694</v>
      </c>
      <c r="C13" s="1117">
        <f>'проект числ-сть'!M12</f>
        <v>106</v>
      </c>
      <c r="D13" s="1121">
        <f t="shared" si="11"/>
        <v>11</v>
      </c>
      <c r="E13" s="1100"/>
      <c r="F13" s="1122">
        <v>15</v>
      </c>
      <c r="G13" s="1121">
        <f t="shared" si="12"/>
        <v>19</v>
      </c>
      <c r="H13" s="1100"/>
      <c r="I13" s="1122"/>
      <c r="J13" s="1124"/>
      <c r="K13" s="1100"/>
      <c r="L13" s="1122"/>
      <c r="M13" s="1124"/>
      <c r="N13" s="1100"/>
      <c r="O13" s="1122"/>
      <c r="P13" s="1124"/>
      <c r="Q13" s="1100"/>
      <c r="R13" s="1122"/>
      <c r="S13" s="1124"/>
      <c r="T13" s="1100"/>
      <c r="U13" s="1122"/>
      <c r="V13" s="1124"/>
      <c r="W13" s="1100"/>
      <c r="X13" s="1122"/>
      <c r="Y13" s="1124"/>
      <c r="Z13" s="1100"/>
      <c r="AA13" s="1122"/>
      <c r="AB13" s="1124"/>
      <c r="AC13" s="1100"/>
      <c r="AD13" s="1122"/>
      <c r="AE13" s="1124">
        <f t="shared" si="13"/>
        <v>0.1</v>
      </c>
      <c r="AF13" s="1100"/>
      <c r="AG13" s="1122">
        <f t="shared" si="14"/>
        <v>0.1</v>
      </c>
      <c r="AH13" s="1124">
        <f t="shared" si="15"/>
        <v>8</v>
      </c>
      <c r="AI13" s="1100"/>
      <c r="AJ13" s="1122">
        <f t="shared" si="16"/>
        <v>8</v>
      </c>
      <c r="AK13" s="1124">
        <f t="shared" si="17"/>
        <v>32</v>
      </c>
      <c r="AL13" s="1105">
        <v>190</v>
      </c>
      <c r="AM13" s="1122"/>
      <c r="AN13" s="1124">
        <f t="shared" si="18"/>
        <v>1</v>
      </c>
      <c r="AO13" s="1100" t="s">
        <v>890</v>
      </c>
      <c r="AP13" s="1122" t="s">
        <v>890</v>
      </c>
      <c r="AQ13" s="1124">
        <f t="shared" si="20"/>
        <v>32</v>
      </c>
      <c r="AR13" s="1105"/>
      <c r="AS13" s="1122"/>
      <c r="AT13" s="1124">
        <f t="shared" si="21"/>
        <v>4</v>
      </c>
      <c r="AU13" s="1100">
        <v>20</v>
      </c>
      <c r="AV13" s="1122"/>
      <c r="AW13" s="1124">
        <f t="shared" si="5"/>
        <v>1</v>
      </c>
      <c r="AX13" s="1100"/>
      <c r="AY13" s="1122">
        <v>2</v>
      </c>
      <c r="AZ13" s="1124">
        <f t="shared" si="22"/>
        <v>6</v>
      </c>
      <c r="BA13" s="1100"/>
      <c r="BB13" s="1122"/>
      <c r="BC13" s="1136">
        <f t="shared" si="23"/>
        <v>0.4</v>
      </c>
      <c r="BD13" s="1130"/>
      <c r="BE13" s="1130"/>
      <c r="BF13" s="1131">
        <f t="shared" si="24"/>
        <v>1</v>
      </c>
      <c r="BG13" s="1100"/>
      <c r="BH13" s="1122">
        <v>3</v>
      </c>
      <c r="BI13" s="1124"/>
      <c r="BJ13" s="1100"/>
      <c r="BK13" s="1122">
        <v>1</v>
      </c>
      <c r="BL13" s="1124"/>
      <c r="BM13" s="1100"/>
      <c r="BN13" s="1122"/>
      <c r="BO13" s="1124">
        <f>ROUND(C13*1/1000,0)</f>
        <v>0</v>
      </c>
      <c r="BP13" s="1100"/>
      <c r="BQ13" s="1122"/>
      <c r="BR13" s="1124"/>
      <c r="BS13" s="1100">
        <v>1</v>
      </c>
      <c r="BT13" s="1122"/>
      <c r="BU13" s="1124">
        <f t="shared" si="25"/>
        <v>1</v>
      </c>
      <c r="BV13" s="1100"/>
      <c r="BW13" s="1122">
        <v>2</v>
      </c>
      <c r="BX13" s="1126">
        <f t="shared" si="26"/>
        <v>0</v>
      </c>
      <c r="BY13" s="1108" t="s">
        <v>890</v>
      </c>
      <c r="BZ13" s="1128">
        <v>0</v>
      </c>
      <c r="CA13" s="227"/>
      <c r="CB13" s="227"/>
      <c r="CC13" s="227"/>
      <c r="CD13" s="227"/>
      <c r="CE13" s="227"/>
      <c r="CF13" s="227"/>
      <c r="CG13" s="227"/>
      <c r="CH13" s="227"/>
      <c r="CI13" s="227"/>
      <c r="CJ13" s="227"/>
      <c r="CK13" s="227"/>
      <c r="CL13" s="227"/>
      <c r="CM13" s="227"/>
      <c r="CN13" s="227"/>
      <c r="CO13" s="227"/>
      <c r="CP13" s="227"/>
      <c r="CQ13" s="227"/>
      <c r="CR13" s="227"/>
      <c r="CS13" s="227"/>
      <c r="CT13" s="227"/>
      <c r="CU13" s="227"/>
      <c r="CV13" s="30"/>
      <c r="CW13" s="30"/>
      <c r="CX13" s="30"/>
      <c r="CY13" s="30"/>
    </row>
    <row r="14" spans="1:103" ht="15.75">
      <c r="A14" s="995">
        <v>4</v>
      </c>
      <c r="B14" s="996" t="s">
        <v>618</v>
      </c>
      <c r="C14" s="1117">
        <f>'проект числ-сть'!M13</f>
        <v>134</v>
      </c>
      <c r="D14" s="1121">
        <f t="shared" si="11"/>
        <v>13</v>
      </c>
      <c r="E14" s="1100"/>
      <c r="F14" s="1122">
        <v>15</v>
      </c>
      <c r="G14" s="1121">
        <f t="shared" si="12"/>
        <v>24</v>
      </c>
      <c r="H14" s="1100"/>
      <c r="I14" s="1122"/>
      <c r="J14" s="1124"/>
      <c r="K14" s="1100"/>
      <c r="L14" s="1122"/>
      <c r="M14" s="1124"/>
      <c r="N14" s="1100"/>
      <c r="O14" s="1122"/>
      <c r="P14" s="1124"/>
      <c r="Q14" s="1100"/>
      <c r="R14" s="1122"/>
      <c r="S14" s="1124"/>
      <c r="T14" s="1100"/>
      <c r="U14" s="1122"/>
      <c r="V14" s="1124"/>
      <c r="W14" s="1100"/>
      <c r="X14" s="1122"/>
      <c r="Y14" s="1124"/>
      <c r="Z14" s="1100"/>
      <c r="AA14" s="1122"/>
      <c r="AB14" s="1124"/>
      <c r="AC14" s="1100"/>
      <c r="AD14" s="1122"/>
      <c r="AE14" s="1124">
        <f t="shared" si="13"/>
        <v>0.1</v>
      </c>
      <c r="AF14" s="1100"/>
      <c r="AG14" s="1122">
        <f t="shared" si="14"/>
        <v>0.1</v>
      </c>
      <c r="AH14" s="1124">
        <f t="shared" si="15"/>
        <v>11</v>
      </c>
      <c r="AI14" s="1100"/>
      <c r="AJ14" s="1122">
        <f t="shared" si="16"/>
        <v>11</v>
      </c>
      <c r="AK14" s="1124">
        <f t="shared" si="17"/>
        <v>40</v>
      </c>
      <c r="AL14" s="1105">
        <v>100</v>
      </c>
      <c r="AM14" s="1122"/>
      <c r="AN14" s="1124">
        <f t="shared" si="18"/>
        <v>1</v>
      </c>
      <c r="AO14" s="1100" t="s">
        <v>890</v>
      </c>
      <c r="AP14" s="1122" t="s">
        <v>890</v>
      </c>
      <c r="AQ14" s="1124">
        <f t="shared" si="20"/>
        <v>40</v>
      </c>
      <c r="AR14" s="1105"/>
      <c r="AS14" s="1122"/>
      <c r="AT14" s="1124">
        <f t="shared" si="21"/>
        <v>5</v>
      </c>
      <c r="AU14" s="1100"/>
      <c r="AV14" s="1122"/>
      <c r="AW14" s="1124">
        <f t="shared" si="5"/>
        <v>1</v>
      </c>
      <c r="AX14" s="1100"/>
      <c r="AY14" s="1122"/>
      <c r="AZ14" s="1124">
        <f t="shared" si="22"/>
        <v>8</v>
      </c>
      <c r="BA14" s="1100"/>
      <c r="BB14" s="1122"/>
      <c r="BC14" s="1136">
        <f t="shared" si="23"/>
        <v>0.5</v>
      </c>
      <c r="BD14" s="1130"/>
      <c r="BE14" s="1130"/>
      <c r="BF14" s="1131">
        <f t="shared" si="24"/>
        <v>1</v>
      </c>
      <c r="BG14" s="1100"/>
      <c r="BH14" s="1122"/>
      <c r="BI14" s="1124"/>
      <c r="BJ14" s="1100"/>
      <c r="BK14" s="1122"/>
      <c r="BL14" s="1124"/>
      <c r="BM14" s="1100"/>
      <c r="BN14" s="1122"/>
      <c r="BO14" s="1124">
        <f t="shared" ref="BO14:BO54" si="34">ROUND(C14*1/1000,0)</f>
        <v>0</v>
      </c>
      <c r="BP14" s="1100"/>
      <c r="BQ14" s="1122"/>
      <c r="BR14" s="1124"/>
      <c r="BS14" s="1100"/>
      <c r="BT14" s="1122"/>
      <c r="BU14" s="1124">
        <f t="shared" si="25"/>
        <v>1</v>
      </c>
      <c r="BV14" s="1100"/>
      <c r="BW14" s="1122"/>
      <c r="BX14" s="1126">
        <f t="shared" si="26"/>
        <v>0</v>
      </c>
      <c r="BY14" s="1108" t="s">
        <v>890</v>
      </c>
      <c r="BZ14" s="1128">
        <v>0</v>
      </c>
      <c r="CV14" s="30"/>
      <c r="CW14" s="30"/>
      <c r="CX14" s="30"/>
      <c r="CY14" s="30"/>
    </row>
    <row r="15" spans="1:103" s="576" customFormat="1" ht="15.75">
      <c r="A15" s="993"/>
      <c r="B15" s="994" t="s">
        <v>257</v>
      </c>
      <c r="C15" s="1116">
        <f>'проект числ-сть'!M14</f>
        <v>472</v>
      </c>
      <c r="D15" s="1119">
        <f>D16+D17+D18</f>
        <v>47</v>
      </c>
      <c r="E15" s="992">
        <f t="shared" ref="E15:F15" si="35">E16+E17+E18</f>
        <v>0</v>
      </c>
      <c r="F15" s="1120">
        <f t="shared" si="35"/>
        <v>40</v>
      </c>
      <c r="G15" s="1119">
        <f t="shared" ref="G15:BS15" si="36">G16+G17+G18</f>
        <v>85</v>
      </c>
      <c r="H15" s="992">
        <f t="shared" si="36"/>
        <v>280</v>
      </c>
      <c r="I15" s="1120">
        <f t="shared" si="36"/>
        <v>0</v>
      </c>
      <c r="J15" s="1119">
        <f t="shared" si="36"/>
        <v>0</v>
      </c>
      <c r="K15" s="992">
        <f t="shared" si="36"/>
        <v>0</v>
      </c>
      <c r="L15" s="1120">
        <f t="shared" si="36"/>
        <v>0</v>
      </c>
      <c r="M15" s="1119">
        <f t="shared" si="36"/>
        <v>0</v>
      </c>
      <c r="N15" s="992">
        <f t="shared" si="36"/>
        <v>0</v>
      </c>
      <c r="O15" s="1120">
        <f t="shared" si="36"/>
        <v>50</v>
      </c>
      <c r="P15" s="1119">
        <f t="shared" si="36"/>
        <v>0</v>
      </c>
      <c r="Q15" s="992">
        <f t="shared" si="36"/>
        <v>0</v>
      </c>
      <c r="R15" s="1120">
        <f t="shared" si="36"/>
        <v>0</v>
      </c>
      <c r="S15" s="1119">
        <f t="shared" si="36"/>
        <v>0</v>
      </c>
      <c r="T15" s="992">
        <f t="shared" si="36"/>
        <v>1</v>
      </c>
      <c r="U15" s="1120">
        <f t="shared" si="36"/>
        <v>0</v>
      </c>
      <c r="V15" s="1119">
        <f t="shared" si="36"/>
        <v>0</v>
      </c>
      <c r="W15" s="992">
        <f t="shared" si="36"/>
        <v>0</v>
      </c>
      <c r="X15" s="1120">
        <f t="shared" si="36"/>
        <v>0</v>
      </c>
      <c r="Y15" s="1119">
        <f t="shared" si="36"/>
        <v>0</v>
      </c>
      <c r="Z15" s="992">
        <f t="shared" si="36"/>
        <v>0</v>
      </c>
      <c r="AA15" s="1120">
        <f t="shared" si="36"/>
        <v>0</v>
      </c>
      <c r="AB15" s="1119">
        <f t="shared" si="36"/>
        <v>0</v>
      </c>
      <c r="AC15" s="992">
        <f t="shared" si="36"/>
        <v>0</v>
      </c>
      <c r="AD15" s="1120">
        <f t="shared" si="36"/>
        <v>1</v>
      </c>
      <c r="AE15" s="1119">
        <f t="shared" si="36"/>
        <v>0.3</v>
      </c>
      <c r="AF15" s="992" t="s">
        <v>890</v>
      </c>
      <c r="AG15" s="1120">
        <f t="shared" si="36"/>
        <v>0.3</v>
      </c>
      <c r="AH15" s="1119">
        <f t="shared" si="36"/>
        <v>37</v>
      </c>
      <c r="AI15" s="992">
        <f t="shared" si="36"/>
        <v>128</v>
      </c>
      <c r="AJ15" s="1120">
        <f t="shared" si="36"/>
        <v>33</v>
      </c>
      <c r="AK15" s="1119">
        <f t="shared" si="36"/>
        <v>142</v>
      </c>
      <c r="AL15" s="992">
        <f t="shared" si="36"/>
        <v>160</v>
      </c>
      <c r="AM15" s="1120">
        <f t="shared" si="36"/>
        <v>0</v>
      </c>
      <c r="AN15" s="1119">
        <f t="shared" si="36"/>
        <v>2</v>
      </c>
      <c r="AO15" s="992" t="s">
        <v>890</v>
      </c>
      <c r="AP15" s="1120" t="s">
        <v>890</v>
      </c>
      <c r="AQ15" s="1119">
        <f t="shared" si="36"/>
        <v>142</v>
      </c>
      <c r="AR15" s="992" t="s">
        <v>890</v>
      </c>
      <c r="AS15" s="1120">
        <f t="shared" ref="AS15" si="37">AS16+AS17+AS18</f>
        <v>0</v>
      </c>
      <c r="AT15" s="1119">
        <f t="shared" si="36"/>
        <v>19</v>
      </c>
      <c r="AU15" s="992">
        <f t="shared" si="36"/>
        <v>0</v>
      </c>
      <c r="AV15" s="1120">
        <f t="shared" si="36"/>
        <v>20</v>
      </c>
      <c r="AW15" s="1119">
        <f t="shared" si="36"/>
        <v>3</v>
      </c>
      <c r="AX15" s="992">
        <f t="shared" si="36"/>
        <v>0</v>
      </c>
      <c r="AY15" s="1120">
        <f t="shared" si="36"/>
        <v>3</v>
      </c>
      <c r="AZ15" s="1119">
        <f t="shared" si="36"/>
        <v>28</v>
      </c>
      <c r="BA15" s="992">
        <f t="shared" si="36"/>
        <v>0</v>
      </c>
      <c r="BB15" s="1120">
        <f t="shared" si="36"/>
        <v>0</v>
      </c>
      <c r="BC15" s="1135">
        <f t="shared" si="36"/>
        <v>1.5999999999999999</v>
      </c>
      <c r="BD15" s="992">
        <f t="shared" si="36"/>
        <v>0</v>
      </c>
      <c r="BE15" s="992">
        <f t="shared" si="36"/>
        <v>0</v>
      </c>
      <c r="BF15" s="1137">
        <f t="shared" si="36"/>
        <v>3</v>
      </c>
      <c r="BG15" s="992">
        <f t="shared" si="36"/>
        <v>0</v>
      </c>
      <c r="BH15" s="1120">
        <f t="shared" si="36"/>
        <v>5</v>
      </c>
      <c r="BI15" s="1119">
        <f t="shared" si="36"/>
        <v>0</v>
      </c>
      <c r="BJ15" s="992">
        <f t="shared" si="36"/>
        <v>0</v>
      </c>
      <c r="BK15" s="1120">
        <f t="shared" si="36"/>
        <v>1</v>
      </c>
      <c r="BL15" s="1119">
        <f t="shared" si="36"/>
        <v>0</v>
      </c>
      <c r="BM15" s="992">
        <f t="shared" si="36"/>
        <v>0</v>
      </c>
      <c r="BN15" s="1120">
        <f t="shared" si="36"/>
        <v>0</v>
      </c>
      <c r="BO15" s="992">
        <f t="shared" si="36"/>
        <v>0</v>
      </c>
      <c r="BP15" s="992">
        <f t="shared" si="36"/>
        <v>1</v>
      </c>
      <c r="BQ15" s="1120">
        <f t="shared" si="36"/>
        <v>0</v>
      </c>
      <c r="BR15" s="1119">
        <f t="shared" si="36"/>
        <v>0</v>
      </c>
      <c r="BS15" s="992">
        <f t="shared" si="36"/>
        <v>0</v>
      </c>
      <c r="BT15" s="1120">
        <f t="shared" ref="BT15" si="38">BT16+BT17+BT18</f>
        <v>1</v>
      </c>
      <c r="BU15" s="1119">
        <f t="shared" ref="BU15:BZ15" si="39">BU16+BU17+BU18</f>
        <v>2</v>
      </c>
      <c r="BV15" s="992">
        <f t="shared" si="39"/>
        <v>0</v>
      </c>
      <c r="BW15" s="1120">
        <f t="shared" si="39"/>
        <v>2</v>
      </c>
      <c r="BX15" s="1125">
        <f t="shared" si="39"/>
        <v>0.1</v>
      </c>
      <c r="BY15" s="1107">
        <f t="shared" si="39"/>
        <v>5.5</v>
      </c>
      <c r="BZ15" s="1120">
        <f t="shared" si="39"/>
        <v>0</v>
      </c>
      <c r="CA15" s="227"/>
      <c r="CB15" s="227"/>
      <c r="CC15" s="227"/>
      <c r="CD15" s="227"/>
      <c r="CE15" s="227"/>
      <c r="CF15" s="227"/>
      <c r="CG15" s="227"/>
      <c r="CH15" s="227"/>
      <c r="CI15" s="227"/>
      <c r="CJ15" s="227"/>
      <c r="CK15" s="227"/>
      <c r="CL15" s="227"/>
      <c r="CM15" s="227"/>
      <c r="CN15" s="227"/>
      <c r="CO15" s="227"/>
      <c r="CP15" s="227"/>
      <c r="CQ15" s="227"/>
      <c r="CR15" s="227"/>
      <c r="CS15" s="227"/>
      <c r="CT15" s="227"/>
      <c r="CU15" s="227"/>
    </row>
    <row r="16" spans="1:103" ht="15.75">
      <c r="A16" s="995">
        <v>5</v>
      </c>
      <c r="B16" s="996" t="s">
        <v>598</v>
      </c>
      <c r="C16" s="1117">
        <f>'проект числ-сть'!M15</f>
        <v>406</v>
      </c>
      <c r="D16" s="1121">
        <f t="shared" si="11"/>
        <v>41</v>
      </c>
      <c r="E16" s="1100"/>
      <c r="F16" s="1122">
        <v>40</v>
      </c>
      <c r="G16" s="1121">
        <f t="shared" si="12"/>
        <v>73</v>
      </c>
      <c r="H16" s="1100">
        <v>0</v>
      </c>
      <c r="I16" s="1122"/>
      <c r="J16" s="1124"/>
      <c r="K16" s="1100"/>
      <c r="L16" s="1122"/>
      <c r="M16" s="1124"/>
      <c r="N16" s="1100">
        <v>0</v>
      </c>
      <c r="O16" s="1122">
        <v>50</v>
      </c>
      <c r="P16" s="1124"/>
      <c r="Q16" s="1100"/>
      <c r="R16" s="1122"/>
      <c r="S16" s="1124"/>
      <c r="T16" s="1100"/>
      <c r="U16" s="1122"/>
      <c r="V16" s="1124"/>
      <c r="W16" s="1100"/>
      <c r="X16" s="1122"/>
      <c r="Y16" s="1124"/>
      <c r="Z16" s="1100"/>
      <c r="AA16" s="1122"/>
      <c r="AB16" s="1124"/>
      <c r="AC16" s="1100">
        <v>0</v>
      </c>
      <c r="AD16" s="1122">
        <v>1</v>
      </c>
      <c r="AE16" s="1124">
        <f t="shared" si="13"/>
        <v>0.3</v>
      </c>
      <c r="AF16" s="1100"/>
      <c r="AG16" s="1122">
        <f t="shared" si="14"/>
        <v>0.3</v>
      </c>
      <c r="AH16" s="1124">
        <f t="shared" si="15"/>
        <v>32</v>
      </c>
      <c r="AI16" s="1100">
        <v>0</v>
      </c>
      <c r="AJ16" s="1122">
        <f t="shared" si="16"/>
        <v>32</v>
      </c>
      <c r="AK16" s="1124">
        <f t="shared" si="17"/>
        <v>122</v>
      </c>
      <c r="AL16" s="1100">
        <v>100</v>
      </c>
      <c r="AM16" s="1122"/>
      <c r="AN16" s="1124">
        <f t="shared" si="18"/>
        <v>2</v>
      </c>
      <c r="AO16" s="1100">
        <v>0</v>
      </c>
      <c r="AP16" s="1122">
        <f t="shared" si="19"/>
        <v>2</v>
      </c>
      <c r="AQ16" s="1124">
        <f t="shared" si="20"/>
        <v>122</v>
      </c>
      <c r="AR16" s="1105"/>
      <c r="AS16" s="1122"/>
      <c r="AT16" s="1124">
        <f t="shared" si="21"/>
        <v>16</v>
      </c>
      <c r="AU16" s="1100"/>
      <c r="AV16" s="1122">
        <v>20</v>
      </c>
      <c r="AW16" s="1124">
        <f t="shared" si="5"/>
        <v>3</v>
      </c>
      <c r="AX16" s="1100"/>
      <c r="AY16" s="1122">
        <f t="shared" ref="AY16" si="40">IF(AW16-AX16&lt;0,0,AW16-AX16)</f>
        <v>3</v>
      </c>
      <c r="AZ16" s="1124">
        <f t="shared" si="22"/>
        <v>24</v>
      </c>
      <c r="BA16" s="1100"/>
      <c r="BB16" s="1122"/>
      <c r="BC16" s="1136">
        <f t="shared" si="23"/>
        <v>1.4</v>
      </c>
      <c r="BD16" s="1130"/>
      <c r="BE16" s="1130"/>
      <c r="BF16" s="1131">
        <f t="shared" si="24"/>
        <v>3</v>
      </c>
      <c r="BG16" s="1100"/>
      <c r="BH16" s="1122">
        <v>5</v>
      </c>
      <c r="BI16" s="1124"/>
      <c r="BJ16" s="1100">
        <v>0</v>
      </c>
      <c r="BK16" s="1122">
        <v>1</v>
      </c>
      <c r="BL16" s="1124"/>
      <c r="BM16" s="1100"/>
      <c r="BN16" s="1122"/>
      <c r="BO16" s="1124">
        <f t="shared" si="34"/>
        <v>0</v>
      </c>
      <c r="BP16" s="1100">
        <v>1</v>
      </c>
      <c r="BQ16" s="1122"/>
      <c r="BR16" s="1124"/>
      <c r="BS16" s="1100">
        <v>0</v>
      </c>
      <c r="BT16" s="1122">
        <v>1</v>
      </c>
      <c r="BU16" s="1124">
        <f t="shared" si="25"/>
        <v>2</v>
      </c>
      <c r="BV16" s="1100"/>
      <c r="BW16" s="1122">
        <v>2</v>
      </c>
      <c r="BX16" s="1126">
        <f t="shared" si="26"/>
        <v>0.1</v>
      </c>
      <c r="BY16" s="1108">
        <v>2.5</v>
      </c>
      <c r="BZ16" s="1122">
        <f t="shared" si="27"/>
        <v>0</v>
      </c>
      <c r="CV16" s="30"/>
      <c r="CW16" s="30"/>
      <c r="CX16" s="30"/>
      <c r="CY16" s="30"/>
    </row>
    <row r="17" spans="1:103" ht="15.75">
      <c r="A17" s="995">
        <v>6</v>
      </c>
      <c r="B17" s="996" t="s">
        <v>695</v>
      </c>
      <c r="C17" s="1117">
        <f>'проект числ-сть'!M16</f>
        <v>14</v>
      </c>
      <c r="D17" s="1121">
        <f t="shared" si="11"/>
        <v>1</v>
      </c>
      <c r="E17" s="1100"/>
      <c r="F17" s="1122"/>
      <c r="G17" s="1121">
        <f t="shared" si="12"/>
        <v>3</v>
      </c>
      <c r="H17" s="1100"/>
      <c r="I17" s="1122"/>
      <c r="J17" s="1124"/>
      <c r="K17" s="1100"/>
      <c r="L17" s="1122"/>
      <c r="M17" s="1124"/>
      <c r="N17" s="1100"/>
      <c r="O17" s="1122"/>
      <c r="P17" s="1124"/>
      <c r="Q17" s="1100"/>
      <c r="R17" s="1122"/>
      <c r="S17" s="1124"/>
      <c r="T17" s="1100"/>
      <c r="U17" s="1122"/>
      <c r="V17" s="1124"/>
      <c r="W17" s="1100"/>
      <c r="X17" s="1122"/>
      <c r="Y17" s="1124"/>
      <c r="Z17" s="1100"/>
      <c r="AA17" s="1122"/>
      <c r="AB17" s="1124"/>
      <c r="AC17" s="1100"/>
      <c r="AD17" s="1122"/>
      <c r="AE17" s="1124">
        <f t="shared" si="13"/>
        <v>0</v>
      </c>
      <c r="AF17" s="1100"/>
      <c r="AG17" s="1122">
        <f t="shared" si="14"/>
        <v>0</v>
      </c>
      <c r="AH17" s="1124">
        <f t="shared" si="15"/>
        <v>1</v>
      </c>
      <c r="AI17" s="1100"/>
      <c r="AJ17" s="1122">
        <f t="shared" si="16"/>
        <v>1</v>
      </c>
      <c r="AK17" s="1124">
        <f t="shared" si="17"/>
        <v>4</v>
      </c>
      <c r="AL17" s="1100"/>
      <c r="AM17" s="1122"/>
      <c r="AN17" s="1124">
        <f t="shared" si="18"/>
        <v>0</v>
      </c>
      <c r="AO17" s="1100"/>
      <c r="AP17" s="1122">
        <f t="shared" si="19"/>
        <v>0</v>
      </c>
      <c r="AQ17" s="1124">
        <f t="shared" si="20"/>
        <v>4</v>
      </c>
      <c r="AR17" s="1105"/>
      <c r="AS17" s="1122"/>
      <c r="AT17" s="1124">
        <f t="shared" si="21"/>
        <v>1</v>
      </c>
      <c r="AU17" s="1100"/>
      <c r="AV17" s="1122"/>
      <c r="AW17" s="1124">
        <f t="shared" si="5"/>
        <v>0</v>
      </c>
      <c r="AX17" s="1100"/>
      <c r="AY17" s="1122"/>
      <c r="AZ17" s="1124">
        <f t="shared" si="22"/>
        <v>1</v>
      </c>
      <c r="BA17" s="1100"/>
      <c r="BB17" s="1122"/>
      <c r="BC17" s="1136">
        <f t="shared" si="23"/>
        <v>0</v>
      </c>
      <c r="BD17" s="1130"/>
      <c r="BE17" s="1130"/>
      <c r="BF17" s="1131">
        <f t="shared" si="24"/>
        <v>0</v>
      </c>
      <c r="BG17" s="1100"/>
      <c r="BH17" s="1122"/>
      <c r="BI17" s="1124"/>
      <c r="BJ17" s="1100"/>
      <c r="BK17" s="1122"/>
      <c r="BL17" s="1124"/>
      <c r="BM17" s="1100"/>
      <c r="BN17" s="1122"/>
      <c r="BO17" s="1124">
        <f t="shared" si="34"/>
        <v>0</v>
      </c>
      <c r="BP17" s="1100"/>
      <c r="BQ17" s="1122"/>
      <c r="BR17" s="1124"/>
      <c r="BS17" s="1100"/>
      <c r="BT17" s="1122"/>
      <c r="BU17" s="1124">
        <f t="shared" si="25"/>
        <v>0</v>
      </c>
      <c r="BV17" s="1100"/>
      <c r="BW17" s="1122"/>
      <c r="BX17" s="1126">
        <f t="shared" si="26"/>
        <v>0</v>
      </c>
      <c r="BY17" s="1108">
        <v>1</v>
      </c>
      <c r="BZ17" s="1122">
        <f t="shared" si="27"/>
        <v>0</v>
      </c>
      <c r="CV17" s="30"/>
      <c r="CW17" s="30"/>
      <c r="CX17" s="30"/>
      <c r="CY17" s="30"/>
    </row>
    <row r="18" spans="1:103" ht="15.75">
      <c r="A18" s="995">
        <v>7</v>
      </c>
      <c r="B18" s="996" t="s">
        <v>600</v>
      </c>
      <c r="C18" s="1117">
        <f>'проект числ-сть'!M17</f>
        <v>52</v>
      </c>
      <c r="D18" s="1121">
        <f t="shared" si="11"/>
        <v>5</v>
      </c>
      <c r="E18" s="1100"/>
      <c r="F18" s="1122"/>
      <c r="G18" s="1121">
        <f t="shared" si="12"/>
        <v>9</v>
      </c>
      <c r="H18" s="1100">
        <v>280</v>
      </c>
      <c r="I18" s="1122"/>
      <c r="J18" s="1124"/>
      <c r="K18" s="1100"/>
      <c r="L18" s="1122"/>
      <c r="M18" s="1124"/>
      <c r="N18" s="1100"/>
      <c r="O18" s="1122"/>
      <c r="P18" s="1124"/>
      <c r="Q18" s="1100"/>
      <c r="R18" s="1122"/>
      <c r="S18" s="1124"/>
      <c r="T18" s="1100">
        <v>1</v>
      </c>
      <c r="U18" s="1122"/>
      <c r="V18" s="1124"/>
      <c r="W18" s="1100"/>
      <c r="X18" s="1122"/>
      <c r="Y18" s="1124"/>
      <c r="Z18" s="1100"/>
      <c r="AA18" s="1122"/>
      <c r="AB18" s="1124"/>
      <c r="AC18" s="1100"/>
      <c r="AD18" s="1122"/>
      <c r="AE18" s="1124">
        <f t="shared" si="13"/>
        <v>0</v>
      </c>
      <c r="AF18" s="1100"/>
      <c r="AG18" s="1122">
        <f t="shared" si="14"/>
        <v>0</v>
      </c>
      <c r="AH18" s="1124">
        <f t="shared" si="15"/>
        <v>4</v>
      </c>
      <c r="AI18" s="1100">
        <v>128</v>
      </c>
      <c r="AJ18" s="1122">
        <f t="shared" si="16"/>
        <v>0</v>
      </c>
      <c r="AK18" s="1124">
        <f t="shared" si="17"/>
        <v>16</v>
      </c>
      <c r="AL18" s="1100">
        <v>60</v>
      </c>
      <c r="AM18" s="1122"/>
      <c r="AN18" s="1124">
        <f t="shared" si="18"/>
        <v>0</v>
      </c>
      <c r="AO18" s="1100" t="s">
        <v>890</v>
      </c>
      <c r="AP18" s="1122" t="s">
        <v>890</v>
      </c>
      <c r="AQ18" s="1124">
        <f t="shared" si="20"/>
        <v>16</v>
      </c>
      <c r="AR18" s="1105"/>
      <c r="AS18" s="1122"/>
      <c r="AT18" s="1124">
        <f t="shared" si="21"/>
        <v>2</v>
      </c>
      <c r="AU18" s="1100"/>
      <c r="AV18" s="1122"/>
      <c r="AW18" s="1124">
        <f t="shared" si="5"/>
        <v>0</v>
      </c>
      <c r="AX18" s="1100"/>
      <c r="AY18" s="1122"/>
      <c r="AZ18" s="1124">
        <f t="shared" si="22"/>
        <v>3</v>
      </c>
      <c r="BA18" s="1100"/>
      <c r="BB18" s="1122"/>
      <c r="BC18" s="1136">
        <f t="shared" si="23"/>
        <v>0.2</v>
      </c>
      <c r="BD18" s="1130"/>
      <c r="BE18" s="1130"/>
      <c r="BF18" s="1131">
        <f t="shared" si="24"/>
        <v>0</v>
      </c>
      <c r="BG18" s="1100"/>
      <c r="BH18" s="1122"/>
      <c r="BI18" s="1124"/>
      <c r="BJ18" s="1100"/>
      <c r="BK18" s="1122"/>
      <c r="BL18" s="1124"/>
      <c r="BM18" s="1100"/>
      <c r="BN18" s="1122"/>
      <c r="BO18" s="1124">
        <f t="shared" si="34"/>
        <v>0</v>
      </c>
      <c r="BP18" s="1100"/>
      <c r="BQ18" s="1122"/>
      <c r="BR18" s="1124"/>
      <c r="BS18" s="1100"/>
      <c r="BT18" s="1122"/>
      <c r="BU18" s="1124">
        <f t="shared" si="25"/>
        <v>0</v>
      </c>
      <c r="BV18" s="1100"/>
      <c r="BW18" s="1122"/>
      <c r="BX18" s="1126">
        <f t="shared" si="26"/>
        <v>0</v>
      </c>
      <c r="BY18" s="1108">
        <v>2</v>
      </c>
      <c r="BZ18" s="1122">
        <f t="shared" si="27"/>
        <v>0</v>
      </c>
      <c r="CV18" s="30"/>
      <c r="CW18" s="30"/>
      <c r="CX18" s="30"/>
      <c r="CY18" s="30"/>
    </row>
    <row r="19" spans="1:103" s="576" customFormat="1" ht="15.75">
      <c r="A19" s="993"/>
      <c r="B19" s="994" t="s">
        <v>261</v>
      </c>
      <c r="C19" s="1116">
        <f>'проект числ-сть'!M18</f>
        <v>434</v>
      </c>
      <c r="D19" s="1119">
        <f>D20+D21</f>
        <v>44</v>
      </c>
      <c r="E19" s="992">
        <f t="shared" ref="E19:F19" si="41">E20+E21</f>
        <v>0</v>
      </c>
      <c r="F19" s="1120">
        <f t="shared" si="41"/>
        <v>40</v>
      </c>
      <c r="G19" s="1119">
        <f t="shared" ref="G19:BS19" si="42">G20+G21</f>
        <v>78</v>
      </c>
      <c r="H19" s="992">
        <f t="shared" si="42"/>
        <v>160</v>
      </c>
      <c r="I19" s="1120">
        <f t="shared" si="42"/>
        <v>0</v>
      </c>
      <c r="J19" s="1119">
        <f t="shared" si="42"/>
        <v>0</v>
      </c>
      <c r="K19" s="992">
        <f t="shared" si="42"/>
        <v>0</v>
      </c>
      <c r="L19" s="1120">
        <f t="shared" si="42"/>
        <v>0</v>
      </c>
      <c r="M19" s="1119">
        <f t="shared" si="42"/>
        <v>0</v>
      </c>
      <c r="N19" s="992">
        <f t="shared" si="42"/>
        <v>0</v>
      </c>
      <c r="O19" s="1120">
        <f t="shared" si="42"/>
        <v>0</v>
      </c>
      <c r="P19" s="1119">
        <f t="shared" si="42"/>
        <v>0</v>
      </c>
      <c r="Q19" s="992">
        <f t="shared" si="42"/>
        <v>0</v>
      </c>
      <c r="R19" s="1120">
        <f t="shared" si="42"/>
        <v>0</v>
      </c>
      <c r="S19" s="1119">
        <f t="shared" si="42"/>
        <v>0</v>
      </c>
      <c r="T19" s="992">
        <f t="shared" si="42"/>
        <v>2</v>
      </c>
      <c r="U19" s="1120">
        <f t="shared" si="42"/>
        <v>0</v>
      </c>
      <c r="V19" s="1119">
        <f t="shared" si="42"/>
        <v>0</v>
      </c>
      <c r="W19" s="992">
        <f t="shared" si="42"/>
        <v>0</v>
      </c>
      <c r="X19" s="1120">
        <f t="shared" si="42"/>
        <v>0</v>
      </c>
      <c r="Y19" s="1119">
        <f t="shared" si="42"/>
        <v>0</v>
      </c>
      <c r="Z19" s="992">
        <f t="shared" si="42"/>
        <v>0</v>
      </c>
      <c r="AA19" s="1120">
        <f t="shared" si="42"/>
        <v>0</v>
      </c>
      <c r="AB19" s="1119">
        <f t="shared" si="42"/>
        <v>0</v>
      </c>
      <c r="AC19" s="992">
        <f t="shared" si="42"/>
        <v>0</v>
      </c>
      <c r="AD19" s="1120">
        <f t="shared" si="42"/>
        <v>1</v>
      </c>
      <c r="AE19" s="1119">
        <f t="shared" si="42"/>
        <v>0.30000000000000004</v>
      </c>
      <c r="AF19" s="992" t="s">
        <v>890</v>
      </c>
      <c r="AG19" s="1120">
        <f t="shared" si="42"/>
        <v>0.30000000000000004</v>
      </c>
      <c r="AH19" s="1119">
        <f t="shared" si="42"/>
        <v>35</v>
      </c>
      <c r="AI19" s="992">
        <f t="shared" si="42"/>
        <v>149</v>
      </c>
      <c r="AJ19" s="1120">
        <f t="shared" si="42"/>
        <v>7</v>
      </c>
      <c r="AK19" s="1119">
        <f t="shared" si="42"/>
        <v>130</v>
      </c>
      <c r="AL19" s="992">
        <f t="shared" si="42"/>
        <v>50</v>
      </c>
      <c r="AM19" s="1120">
        <f t="shared" si="42"/>
        <v>80</v>
      </c>
      <c r="AN19" s="1119">
        <f t="shared" si="42"/>
        <v>3</v>
      </c>
      <c r="AO19" s="992">
        <f t="shared" si="42"/>
        <v>33</v>
      </c>
      <c r="AP19" s="1120">
        <f t="shared" si="42"/>
        <v>0</v>
      </c>
      <c r="AQ19" s="1119">
        <f t="shared" si="42"/>
        <v>130</v>
      </c>
      <c r="AR19" s="992" t="s">
        <v>890</v>
      </c>
      <c r="AS19" s="1120">
        <f t="shared" ref="AS19" si="43">AS20+AS21</f>
        <v>0</v>
      </c>
      <c r="AT19" s="1119">
        <f t="shared" si="42"/>
        <v>18</v>
      </c>
      <c r="AU19" s="992">
        <f t="shared" si="42"/>
        <v>0</v>
      </c>
      <c r="AV19" s="1120">
        <f t="shared" si="42"/>
        <v>20</v>
      </c>
      <c r="AW19" s="1119">
        <f t="shared" si="42"/>
        <v>3</v>
      </c>
      <c r="AX19" s="992">
        <f t="shared" si="42"/>
        <v>0</v>
      </c>
      <c r="AY19" s="1120">
        <f t="shared" si="42"/>
        <v>3</v>
      </c>
      <c r="AZ19" s="1119">
        <f t="shared" si="42"/>
        <v>26</v>
      </c>
      <c r="BA19" s="992">
        <f t="shared" si="42"/>
        <v>0</v>
      </c>
      <c r="BB19" s="1120">
        <f t="shared" si="42"/>
        <v>0</v>
      </c>
      <c r="BC19" s="1135">
        <f t="shared" si="42"/>
        <v>1.5</v>
      </c>
      <c r="BD19" s="992">
        <f t="shared" si="42"/>
        <v>0</v>
      </c>
      <c r="BE19" s="992">
        <f t="shared" si="42"/>
        <v>0</v>
      </c>
      <c r="BF19" s="1137">
        <f t="shared" si="42"/>
        <v>3</v>
      </c>
      <c r="BG19" s="992">
        <f t="shared" si="42"/>
        <v>0</v>
      </c>
      <c r="BH19" s="1120">
        <f t="shared" si="42"/>
        <v>4</v>
      </c>
      <c r="BI19" s="1119">
        <f t="shared" si="42"/>
        <v>0</v>
      </c>
      <c r="BJ19" s="992">
        <f t="shared" si="42"/>
        <v>2</v>
      </c>
      <c r="BK19" s="1120">
        <f t="shared" si="42"/>
        <v>0</v>
      </c>
      <c r="BL19" s="1119">
        <f t="shared" si="42"/>
        <v>0</v>
      </c>
      <c r="BM19" s="992">
        <f t="shared" si="42"/>
        <v>1</v>
      </c>
      <c r="BN19" s="1120">
        <f t="shared" si="42"/>
        <v>0</v>
      </c>
      <c r="BO19" s="992">
        <f t="shared" si="42"/>
        <v>0</v>
      </c>
      <c r="BP19" s="992">
        <f t="shared" si="42"/>
        <v>1</v>
      </c>
      <c r="BQ19" s="1120">
        <f t="shared" si="42"/>
        <v>0</v>
      </c>
      <c r="BR19" s="1119">
        <f t="shared" si="42"/>
        <v>0</v>
      </c>
      <c r="BS19" s="992">
        <f t="shared" si="42"/>
        <v>0</v>
      </c>
      <c r="BT19" s="1120">
        <f t="shared" ref="BT19" si="44">BT20+BT21</f>
        <v>1</v>
      </c>
      <c r="BU19" s="1119">
        <f t="shared" ref="BU19:BZ19" si="45">BU20+BU21</f>
        <v>3</v>
      </c>
      <c r="BV19" s="992">
        <f t="shared" si="45"/>
        <v>0</v>
      </c>
      <c r="BW19" s="1120">
        <f t="shared" si="45"/>
        <v>3</v>
      </c>
      <c r="BX19" s="1125">
        <f t="shared" si="45"/>
        <v>0.1</v>
      </c>
      <c r="BY19" s="1107">
        <f t="shared" si="45"/>
        <v>5</v>
      </c>
      <c r="BZ19" s="1120">
        <f t="shared" si="45"/>
        <v>0</v>
      </c>
      <c r="CA19" s="227"/>
      <c r="CB19" s="227"/>
      <c r="CC19" s="227"/>
      <c r="CD19" s="227"/>
      <c r="CE19" s="227"/>
      <c r="CF19" s="227"/>
      <c r="CG19" s="227"/>
      <c r="CH19" s="227"/>
      <c r="CI19" s="227"/>
      <c r="CJ19" s="227"/>
      <c r="CK19" s="227"/>
      <c r="CL19" s="227"/>
      <c r="CM19" s="227"/>
      <c r="CN19" s="227"/>
      <c r="CO19" s="227"/>
      <c r="CP19" s="227"/>
      <c r="CQ19" s="227"/>
      <c r="CR19" s="227"/>
      <c r="CS19" s="227"/>
      <c r="CT19" s="227"/>
      <c r="CU19" s="227"/>
    </row>
    <row r="20" spans="1:103" ht="15.75">
      <c r="A20" s="995">
        <v>8</v>
      </c>
      <c r="B20" s="996" t="s">
        <v>697</v>
      </c>
      <c r="C20" s="1117">
        <f>'проект числ-сть'!M19</f>
        <v>346</v>
      </c>
      <c r="D20" s="1121">
        <f t="shared" si="11"/>
        <v>35</v>
      </c>
      <c r="E20" s="1100"/>
      <c r="F20" s="1122">
        <v>40</v>
      </c>
      <c r="G20" s="1121">
        <f t="shared" si="12"/>
        <v>62</v>
      </c>
      <c r="H20" s="1100">
        <v>160</v>
      </c>
      <c r="I20" s="1122"/>
      <c r="J20" s="1124"/>
      <c r="K20" s="1100"/>
      <c r="L20" s="1122"/>
      <c r="M20" s="1124"/>
      <c r="N20" s="1100"/>
      <c r="O20" s="1122"/>
      <c r="P20" s="1124"/>
      <c r="Q20" s="1100"/>
      <c r="R20" s="1122"/>
      <c r="S20" s="1124"/>
      <c r="T20" s="1100">
        <v>1</v>
      </c>
      <c r="U20" s="1122"/>
      <c r="V20" s="1124"/>
      <c r="W20" s="1100"/>
      <c r="X20" s="1122"/>
      <c r="Y20" s="1124"/>
      <c r="Z20" s="1100"/>
      <c r="AA20" s="1122"/>
      <c r="AB20" s="1124"/>
      <c r="AC20" s="1100"/>
      <c r="AD20" s="1122"/>
      <c r="AE20" s="1124">
        <f t="shared" si="13"/>
        <v>0.2</v>
      </c>
      <c r="AF20" s="1100"/>
      <c r="AG20" s="1122">
        <f t="shared" si="14"/>
        <v>0.2</v>
      </c>
      <c r="AH20" s="1124">
        <f t="shared" si="15"/>
        <v>28</v>
      </c>
      <c r="AI20" s="1100">
        <v>149</v>
      </c>
      <c r="AJ20" s="1122">
        <f t="shared" si="16"/>
        <v>0</v>
      </c>
      <c r="AK20" s="1124">
        <f t="shared" si="17"/>
        <v>104</v>
      </c>
      <c r="AL20" s="1100">
        <v>50</v>
      </c>
      <c r="AM20" s="1122">
        <v>80</v>
      </c>
      <c r="AN20" s="1124">
        <f t="shared" si="18"/>
        <v>2</v>
      </c>
      <c r="AO20" s="1100">
        <v>18</v>
      </c>
      <c r="AP20" s="1122">
        <f t="shared" si="19"/>
        <v>0</v>
      </c>
      <c r="AQ20" s="1124">
        <f t="shared" si="20"/>
        <v>104</v>
      </c>
      <c r="AR20" s="1105"/>
      <c r="AS20" s="1122"/>
      <c r="AT20" s="1124">
        <f t="shared" si="21"/>
        <v>14</v>
      </c>
      <c r="AU20" s="1100"/>
      <c r="AV20" s="1122">
        <v>20</v>
      </c>
      <c r="AW20" s="1124">
        <f t="shared" si="5"/>
        <v>2</v>
      </c>
      <c r="AX20" s="1100"/>
      <c r="AY20" s="1122">
        <v>3</v>
      </c>
      <c r="AZ20" s="1124">
        <f t="shared" si="22"/>
        <v>21</v>
      </c>
      <c r="BA20" s="1100"/>
      <c r="BB20" s="1122"/>
      <c r="BC20" s="1136">
        <f t="shared" si="23"/>
        <v>1.2</v>
      </c>
      <c r="BD20" s="1130"/>
      <c r="BE20" s="1130"/>
      <c r="BF20" s="1131">
        <f t="shared" si="24"/>
        <v>2</v>
      </c>
      <c r="BG20" s="1100"/>
      <c r="BH20" s="1122">
        <v>4</v>
      </c>
      <c r="BI20" s="1124"/>
      <c r="BJ20" s="1100">
        <v>1</v>
      </c>
      <c r="BK20" s="1122"/>
      <c r="BL20" s="1124"/>
      <c r="BM20" s="1100">
        <v>1</v>
      </c>
      <c r="BN20" s="1122"/>
      <c r="BO20" s="1124">
        <f t="shared" si="34"/>
        <v>0</v>
      </c>
      <c r="BP20" s="1100">
        <v>1</v>
      </c>
      <c r="BQ20" s="1122"/>
      <c r="BR20" s="1124"/>
      <c r="BS20" s="1100">
        <v>0</v>
      </c>
      <c r="BT20" s="1122">
        <v>1</v>
      </c>
      <c r="BU20" s="1124">
        <f t="shared" si="25"/>
        <v>2</v>
      </c>
      <c r="BV20" s="1100"/>
      <c r="BW20" s="1122">
        <v>3</v>
      </c>
      <c r="BX20" s="1126">
        <f t="shared" si="26"/>
        <v>0.1</v>
      </c>
      <c r="BY20" s="1108">
        <v>5</v>
      </c>
      <c r="BZ20" s="1122">
        <f t="shared" si="27"/>
        <v>0</v>
      </c>
      <c r="CV20" s="30"/>
      <c r="CW20" s="30"/>
      <c r="CX20" s="30"/>
      <c r="CY20" s="30"/>
    </row>
    <row r="21" spans="1:103" ht="15.75">
      <c r="A21" s="995">
        <v>9</v>
      </c>
      <c r="B21" s="996" t="s">
        <v>698</v>
      </c>
      <c r="C21" s="1117">
        <f>'проект числ-сть'!M20</f>
        <v>88</v>
      </c>
      <c r="D21" s="1121">
        <f t="shared" si="11"/>
        <v>9</v>
      </c>
      <c r="E21" s="1100"/>
      <c r="F21" s="1122"/>
      <c r="G21" s="1121">
        <f t="shared" si="12"/>
        <v>16</v>
      </c>
      <c r="H21" s="1100"/>
      <c r="I21" s="1122"/>
      <c r="J21" s="1124"/>
      <c r="K21" s="1100"/>
      <c r="L21" s="1122"/>
      <c r="M21" s="1124"/>
      <c r="N21" s="1100"/>
      <c r="O21" s="1122"/>
      <c r="P21" s="1124"/>
      <c r="Q21" s="1100"/>
      <c r="R21" s="1122"/>
      <c r="S21" s="1124"/>
      <c r="T21" s="1100">
        <v>1</v>
      </c>
      <c r="U21" s="1122"/>
      <c r="V21" s="1124"/>
      <c r="W21" s="1100"/>
      <c r="X21" s="1122"/>
      <c r="Y21" s="1124"/>
      <c r="Z21" s="1100"/>
      <c r="AA21" s="1122"/>
      <c r="AB21" s="1124"/>
      <c r="AC21" s="1100"/>
      <c r="AD21" s="1122">
        <v>1</v>
      </c>
      <c r="AE21" s="1124">
        <f t="shared" si="13"/>
        <v>0.1</v>
      </c>
      <c r="AF21" s="1100"/>
      <c r="AG21" s="1122">
        <f t="shared" si="14"/>
        <v>0.1</v>
      </c>
      <c r="AH21" s="1124">
        <f t="shared" si="15"/>
        <v>7</v>
      </c>
      <c r="AI21" s="1100"/>
      <c r="AJ21" s="1122">
        <f t="shared" si="16"/>
        <v>7</v>
      </c>
      <c r="AK21" s="1124">
        <f t="shared" si="17"/>
        <v>26</v>
      </c>
      <c r="AL21" s="1100">
        <v>0</v>
      </c>
      <c r="AM21" s="1122"/>
      <c r="AN21" s="1124">
        <f t="shared" si="18"/>
        <v>1</v>
      </c>
      <c r="AO21" s="1100">
        <v>15</v>
      </c>
      <c r="AP21" s="1122">
        <f t="shared" si="19"/>
        <v>0</v>
      </c>
      <c r="AQ21" s="1124">
        <f t="shared" si="20"/>
        <v>26</v>
      </c>
      <c r="AR21" s="1105"/>
      <c r="AS21" s="1122"/>
      <c r="AT21" s="1124">
        <f t="shared" si="21"/>
        <v>4</v>
      </c>
      <c r="AU21" s="1100"/>
      <c r="AV21" s="1122"/>
      <c r="AW21" s="1124">
        <f t="shared" si="5"/>
        <v>1</v>
      </c>
      <c r="AX21" s="1100"/>
      <c r="AY21" s="1122"/>
      <c r="AZ21" s="1124">
        <f t="shared" si="22"/>
        <v>5</v>
      </c>
      <c r="BA21" s="1100"/>
      <c r="BB21" s="1122"/>
      <c r="BC21" s="1136">
        <f t="shared" si="23"/>
        <v>0.3</v>
      </c>
      <c r="BD21" s="1130"/>
      <c r="BE21" s="1130"/>
      <c r="BF21" s="1131">
        <f t="shared" si="24"/>
        <v>1</v>
      </c>
      <c r="BG21" s="1100"/>
      <c r="BH21" s="1122"/>
      <c r="BI21" s="1124"/>
      <c r="BJ21" s="1100">
        <v>1</v>
      </c>
      <c r="BK21" s="1122"/>
      <c r="BL21" s="1124"/>
      <c r="BM21" s="1100"/>
      <c r="BN21" s="1122"/>
      <c r="BO21" s="1124">
        <f t="shared" si="34"/>
        <v>0</v>
      </c>
      <c r="BP21" s="1100"/>
      <c r="BQ21" s="1122"/>
      <c r="BR21" s="1124"/>
      <c r="BS21" s="1100"/>
      <c r="BT21" s="1122"/>
      <c r="BU21" s="1124">
        <f t="shared" si="25"/>
        <v>1</v>
      </c>
      <c r="BV21" s="1100"/>
      <c r="BW21" s="1122"/>
      <c r="BX21" s="1126">
        <f t="shared" si="26"/>
        <v>0</v>
      </c>
      <c r="BY21" s="1108"/>
      <c r="BZ21" s="1122">
        <f t="shared" si="27"/>
        <v>0</v>
      </c>
      <c r="CV21" s="30"/>
      <c r="CW21" s="30"/>
      <c r="CX21" s="30"/>
      <c r="CY21" s="30"/>
    </row>
    <row r="22" spans="1:103" s="576" customFormat="1" ht="15.75">
      <c r="A22" s="993"/>
      <c r="B22" s="994" t="s">
        <v>264</v>
      </c>
      <c r="C22" s="1116">
        <f>'проект числ-сть'!M21</f>
        <v>179</v>
      </c>
      <c r="D22" s="1119">
        <f>D23+D24</f>
        <v>18</v>
      </c>
      <c r="E22" s="992">
        <f t="shared" ref="E22:F22" si="46">E23+E24</f>
        <v>0</v>
      </c>
      <c r="F22" s="1120">
        <f t="shared" si="46"/>
        <v>15</v>
      </c>
      <c r="G22" s="1123">
        <f t="shared" ref="G22:BS22" si="47">G23+G24</f>
        <v>32</v>
      </c>
      <c r="H22" s="992">
        <f t="shared" si="47"/>
        <v>192</v>
      </c>
      <c r="I22" s="1120">
        <f t="shared" si="47"/>
        <v>0</v>
      </c>
      <c r="J22" s="1119">
        <f t="shared" si="47"/>
        <v>0</v>
      </c>
      <c r="K22" s="992">
        <f t="shared" si="47"/>
        <v>0</v>
      </c>
      <c r="L22" s="1120">
        <f t="shared" si="47"/>
        <v>0</v>
      </c>
      <c r="M22" s="1119">
        <f t="shared" si="47"/>
        <v>0</v>
      </c>
      <c r="N22" s="992">
        <f t="shared" si="47"/>
        <v>0</v>
      </c>
      <c r="O22" s="1120">
        <f t="shared" si="47"/>
        <v>0</v>
      </c>
      <c r="P22" s="1119">
        <f t="shared" si="47"/>
        <v>0</v>
      </c>
      <c r="Q22" s="992">
        <f t="shared" si="47"/>
        <v>0</v>
      </c>
      <c r="R22" s="1120">
        <f t="shared" si="47"/>
        <v>0</v>
      </c>
      <c r="S22" s="1119">
        <f t="shared" si="47"/>
        <v>0</v>
      </c>
      <c r="T22" s="992">
        <f t="shared" si="47"/>
        <v>1</v>
      </c>
      <c r="U22" s="1120">
        <f t="shared" si="47"/>
        <v>0</v>
      </c>
      <c r="V22" s="1119">
        <f t="shared" si="47"/>
        <v>0</v>
      </c>
      <c r="W22" s="992">
        <f t="shared" si="47"/>
        <v>0</v>
      </c>
      <c r="X22" s="1120">
        <f t="shared" si="47"/>
        <v>0</v>
      </c>
      <c r="Y22" s="1119">
        <f t="shared" si="47"/>
        <v>0</v>
      </c>
      <c r="Z22" s="992">
        <f t="shared" si="47"/>
        <v>0</v>
      </c>
      <c r="AA22" s="1120">
        <f t="shared" si="47"/>
        <v>0</v>
      </c>
      <c r="AB22" s="1119">
        <f t="shared" si="47"/>
        <v>0</v>
      </c>
      <c r="AC22" s="992">
        <f t="shared" si="47"/>
        <v>0</v>
      </c>
      <c r="AD22" s="1120">
        <f t="shared" si="47"/>
        <v>2</v>
      </c>
      <c r="AE22" s="1119">
        <f t="shared" si="47"/>
        <v>0.1</v>
      </c>
      <c r="AF22" s="992" t="s">
        <v>890</v>
      </c>
      <c r="AG22" s="1120">
        <f t="shared" si="47"/>
        <v>0.1</v>
      </c>
      <c r="AH22" s="1119">
        <f t="shared" si="47"/>
        <v>14</v>
      </c>
      <c r="AI22" s="992">
        <f t="shared" si="47"/>
        <v>162</v>
      </c>
      <c r="AJ22" s="1120">
        <f t="shared" si="47"/>
        <v>4</v>
      </c>
      <c r="AK22" s="1119">
        <f t="shared" si="47"/>
        <v>54</v>
      </c>
      <c r="AL22" s="992">
        <f t="shared" si="47"/>
        <v>60</v>
      </c>
      <c r="AM22" s="1120">
        <f t="shared" si="47"/>
        <v>0</v>
      </c>
      <c r="AN22" s="1119">
        <f t="shared" si="47"/>
        <v>1</v>
      </c>
      <c r="AO22" s="992" t="s">
        <v>890</v>
      </c>
      <c r="AP22" s="1120" t="s">
        <v>890</v>
      </c>
      <c r="AQ22" s="1119">
        <f t="shared" si="47"/>
        <v>54</v>
      </c>
      <c r="AR22" s="992" t="s">
        <v>890</v>
      </c>
      <c r="AS22" s="1120">
        <f t="shared" ref="AS22" si="48">AS23+AS24</f>
        <v>0</v>
      </c>
      <c r="AT22" s="1119">
        <f t="shared" si="47"/>
        <v>7</v>
      </c>
      <c r="AU22" s="992">
        <f t="shared" si="47"/>
        <v>0</v>
      </c>
      <c r="AV22" s="1120">
        <f t="shared" si="47"/>
        <v>10</v>
      </c>
      <c r="AW22" s="1119">
        <f t="shared" si="47"/>
        <v>1</v>
      </c>
      <c r="AX22" s="992">
        <f t="shared" si="47"/>
        <v>0</v>
      </c>
      <c r="AY22" s="1120">
        <f t="shared" si="47"/>
        <v>2</v>
      </c>
      <c r="AZ22" s="1119">
        <f t="shared" si="47"/>
        <v>11</v>
      </c>
      <c r="BA22" s="992">
        <f t="shared" si="47"/>
        <v>0</v>
      </c>
      <c r="BB22" s="1120">
        <f t="shared" si="47"/>
        <v>0</v>
      </c>
      <c r="BC22" s="1135">
        <f t="shared" si="47"/>
        <v>0.60000000000000009</v>
      </c>
      <c r="BD22" s="992">
        <f t="shared" si="47"/>
        <v>0</v>
      </c>
      <c r="BE22" s="992">
        <f t="shared" si="47"/>
        <v>0</v>
      </c>
      <c r="BF22" s="1137">
        <f t="shared" si="47"/>
        <v>1</v>
      </c>
      <c r="BG22" s="992">
        <f t="shared" si="47"/>
        <v>0</v>
      </c>
      <c r="BH22" s="1120">
        <f t="shared" si="47"/>
        <v>3</v>
      </c>
      <c r="BI22" s="1119">
        <f t="shared" si="47"/>
        <v>0</v>
      </c>
      <c r="BJ22" s="992">
        <f t="shared" si="47"/>
        <v>1</v>
      </c>
      <c r="BK22" s="1120">
        <f t="shared" si="47"/>
        <v>0</v>
      </c>
      <c r="BL22" s="1119">
        <f t="shared" si="47"/>
        <v>0</v>
      </c>
      <c r="BM22" s="992">
        <f t="shared" si="47"/>
        <v>0</v>
      </c>
      <c r="BN22" s="1120">
        <f t="shared" si="47"/>
        <v>0</v>
      </c>
      <c r="BO22" s="992">
        <f t="shared" si="47"/>
        <v>0</v>
      </c>
      <c r="BP22" s="992">
        <f t="shared" si="47"/>
        <v>1</v>
      </c>
      <c r="BQ22" s="1120">
        <f t="shared" si="47"/>
        <v>0</v>
      </c>
      <c r="BR22" s="1119">
        <f t="shared" si="47"/>
        <v>0</v>
      </c>
      <c r="BS22" s="992">
        <f t="shared" si="47"/>
        <v>1</v>
      </c>
      <c r="BT22" s="1120">
        <f t="shared" ref="BT22" si="49">BT23+BT24</f>
        <v>0</v>
      </c>
      <c r="BU22" s="1119">
        <f t="shared" ref="BU22:BX22" si="50">BU23+BU24</f>
        <v>1</v>
      </c>
      <c r="BV22" s="992">
        <f t="shared" si="50"/>
        <v>0</v>
      </c>
      <c r="BW22" s="1120">
        <f t="shared" si="50"/>
        <v>2</v>
      </c>
      <c r="BX22" s="1125">
        <f t="shared" si="50"/>
        <v>0</v>
      </c>
      <c r="BY22" s="1107" t="s">
        <v>890</v>
      </c>
      <c r="BZ22" s="1120">
        <v>0</v>
      </c>
      <c r="CA22" s="227"/>
      <c r="CB22" s="227"/>
      <c r="CC22" s="227"/>
      <c r="CD22" s="227"/>
      <c r="CE22" s="227"/>
      <c r="CF22" s="227"/>
      <c r="CG22" s="227"/>
      <c r="CH22" s="227"/>
      <c r="CI22" s="227"/>
      <c r="CJ22" s="227"/>
      <c r="CK22" s="227"/>
      <c r="CL22" s="227"/>
      <c r="CM22" s="227"/>
      <c r="CN22" s="227"/>
      <c r="CO22" s="227"/>
      <c r="CP22" s="227"/>
      <c r="CQ22" s="227"/>
      <c r="CR22" s="227"/>
      <c r="CS22" s="227"/>
      <c r="CT22" s="227"/>
      <c r="CU22" s="227"/>
    </row>
    <row r="23" spans="1:103" ht="15.75">
      <c r="A23" s="995">
        <v>10</v>
      </c>
      <c r="B23" s="996" t="s">
        <v>619</v>
      </c>
      <c r="C23" s="1117">
        <f>'проект числ-сть'!M22</f>
        <v>127</v>
      </c>
      <c r="D23" s="1121">
        <f t="shared" si="11"/>
        <v>13</v>
      </c>
      <c r="E23" s="1100"/>
      <c r="F23" s="1122">
        <v>15</v>
      </c>
      <c r="G23" s="1121">
        <f t="shared" si="12"/>
        <v>23</v>
      </c>
      <c r="H23" s="1100">
        <v>192</v>
      </c>
      <c r="I23" s="1122"/>
      <c r="J23" s="1124"/>
      <c r="K23" s="1100"/>
      <c r="L23" s="1122"/>
      <c r="M23" s="1124"/>
      <c r="N23" s="1100"/>
      <c r="O23" s="1122"/>
      <c r="P23" s="1124"/>
      <c r="Q23" s="1100"/>
      <c r="R23" s="1122"/>
      <c r="S23" s="1124"/>
      <c r="T23" s="1100">
        <v>1</v>
      </c>
      <c r="U23" s="1122"/>
      <c r="V23" s="1124"/>
      <c r="W23" s="1100"/>
      <c r="X23" s="1122"/>
      <c r="Y23" s="1124"/>
      <c r="Z23" s="1100"/>
      <c r="AA23" s="1122"/>
      <c r="AB23" s="1124"/>
      <c r="AC23" s="1100"/>
      <c r="AD23" s="1122">
        <v>1</v>
      </c>
      <c r="AE23" s="1124">
        <f t="shared" si="13"/>
        <v>0.1</v>
      </c>
      <c r="AF23" s="1100"/>
      <c r="AG23" s="1122">
        <f t="shared" si="14"/>
        <v>0.1</v>
      </c>
      <c r="AH23" s="1124">
        <f t="shared" si="15"/>
        <v>10</v>
      </c>
      <c r="AI23" s="1100">
        <v>162</v>
      </c>
      <c r="AJ23" s="1122">
        <f t="shared" si="16"/>
        <v>0</v>
      </c>
      <c r="AK23" s="1124">
        <f t="shared" si="17"/>
        <v>38</v>
      </c>
      <c r="AL23" s="1100">
        <v>60</v>
      </c>
      <c r="AM23" s="1122"/>
      <c r="AN23" s="1124">
        <f t="shared" si="18"/>
        <v>1</v>
      </c>
      <c r="AO23" s="1100" t="s">
        <v>890</v>
      </c>
      <c r="AP23" s="1122" t="s">
        <v>890</v>
      </c>
      <c r="AQ23" s="1124">
        <f t="shared" si="20"/>
        <v>38</v>
      </c>
      <c r="AR23" s="1105"/>
      <c r="AS23" s="1122"/>
      <c r="AT23" s="1124">
        <f t="shared" si="21"/>
        <v>5</v>
      </c>
      <c r="AU23" s="1100"/>
      <c r="AV23" s="1122">
        <v>10</v>
      </c>
      <c r="AW23" s="1124">
        <f t="shared" si="5"/>
        <v>1</v>
      </c>
      <c r="AX23" s="1100"/>
      <c r="AY23" s="1122">
        <v>2</v>
      </c>
      <c r="AZ23" s="1124">
        <f t="shared" si="22"/>
        <v>8</v>
      </c>
      <c r="BA23" s="1100"/>
      <c r="BB23" s="1122"/>
      <c r="BC23" s="1136">
        <f t="shared" si="23"/>
        <v>0.4</v>
      </c>
      <c r="BD23" s="1130"/>
      <c r="BE23" s="1130"/>
      <c r="BF23" s="1131">
        <f t="shared" si="24"/>
        <v>1</v>
      </c>
      <c r="BG23" s="1100"/>
      <c r="BH23" s="1122">
        <v>3</v>
      </c>
      <c r="BI23" s="1124"/>
      <c r="BJ23" s="1100">
        <v>1</v>
      </c>
      <c r="BK23" s="1122"/>
      <c r="BL23" s="1124"/>
      <c r="BM23" s="1100"/>
      <c r="BN23" s="1122"/>
      <c r="BO23" s="1124">
        <f t="shared" si="34"/>
        <v>0</v>
      </c>
      <c r="BP23" s="1100">
        <v>1</v>
      </c>
      <c r="BQ23" s="1122"/>
      <c r="BR23" s="1124"/>
      <c r="BS23" s="1100">
        <v>1</v>
      </c>
      <c r="BT23" s="1122"/>
      <c r="BU23" s="1124">
        <f t="shared" si="25"/>
        <v>1</v>
      </c>
      <c r="BV23" s="1100"/>
      <c r="BW23" s="1122">
        <v>2</v>
      </c>
      <c r="BX23" s="1126">
        <f t="shared" si="26"/>
        <v>0</v>
      </c>
      <c r="BY23" s="1108" t="s">
        <v>890</v>
      </c>
      <c r="BZ23" s="1122">
        <v>0</v>
      </c>
      <c r="CV23" s="30"/>
      <c r="CW23" s="30"/>
      <c r="CX23" s="30"/>
      <c r="CY23" s="30"/>
    </row>
    <row r="24" spans="1:103" ht="15.75">
      <c r="A24" s="995">
        <v>11</v>
      </c>
      <c r="B24" s="996" t="s">
        <v>699</v>
      </c>
      <c r="C24" s="1117">
        <f>'проект числ-сть'!M23</f>
        <v>52</v>
      </c>
      <c r="D24" s="1121">
        <f t="shared" si="11"/>
        <v>5</v>
      </c>
      <c r="E24" s="1100"/>
      <c r="F24" s="1122">
        <v>0</v>
      </c>
      <c r="G24" s="1121">
        <f t="shared" si="12"/>
        <v>9</v>
      </c>
      <c r="H24" s="1100"/>
      <c r="I24" s="1122"/>
      <c r="J24" s="1124"/>
      <c r="K24" s="1100"/>
      <c r="L24" s="1122"/>
      <c r="M24" s="1124"/>
      <c r="N24" s="1100"/>
      <c r="O24" s="1122"/>
      <c r="P24" s="1124"/>
      <c r="Q24" s="1100"/>
      <c r="R24" s="1122"/>
      <c r="S24" s="1124"/>
      <c r="T24" s="1100"/>
      <c r="U24" s="1122"/>
      <c r="V24" s="1124"/>
      <c r="W24" s="1100"/>
      <c r="X24" s="1122"/>
      <c r="Y24" s="1124"/>
      <c r="Z24" s="1100"/>
      <c r="AA24" s="1122"/>
      <c r="AB24" s="1124"/>
      <c r="AC24" s="1100"/>
      <c r="AD24" s="1122">
        <v>1</v>
      </c>
      <c r="AE24" s="1124">
        <f t="shared" si="13"/>
        <v>0</v>
      </c>
      <c r="AF24" s="1100"/>
      <c r="AG24" s="1122">
        <f t="shared" si="14"/>
        <v>0</v>
      </c>
      <c r="AH24" s="1124">
        <f t="shared" si="15"/>
        <v>4</v>
      </c>
      <c r="AI24" s="1100"/>
      <c r="AJ24" s="1122">
        <f t="shared" si="16"/>
        <v>4</v>
      </c>
      <c r="AK24" s="1124">
        <f t="shared" si="17"/>
        <v>16</v>
      </c>
      <c r="AL24" s="1100">
        <v>0</v>
      </c>
      <c r="AM24" s="1122"/>
      <c r="AN24" s="1124">
        <f t="shared" si="18"/>
        <v>0</v>
      </c>
      <c r="AO24" s="1100" t="s">
        <v>890</v>
      </c>
      <c r="AP24" s="1122" t="s">
        <v>890</v>
      </c>
      <c r="AQ24" s="1124">
        <f t="shared" si="20"/>
        <v>16</v>
      </c>
      <c r="AR24" s="1105"/>
      <c r="AS24" s="1122"/>
      <c r="AT24" s="1124">
        <f t="shared" si="21"/>
        <v>2</v>
      </c>
      <c r="AU24" s="1100"/>
      <c r="AV24" s="1122"/>
      <c r="AW24" s="1124">
        <f t="shared" si="5"/>
        <v>0</v>
      </c>
      <c r="AX24" s="1100"/>
      <c r="AY24" s="1122"/>
      <c r="AZ24" s="1124">
        <f t="shared" si="22"/>
        <v>3</v>
      </c>
      <c r="BA24" s="1100"/>
      <c r="BB24" s="1122"/>
      <c r="BC24" s="1136">
        <f t="shared" si="23"/>
        <v>0.2</v>
      </c>
      <c r="BD24" s="1130"/>
      <c r="BE24" s="1130"/>
      <c r="BF24" s="1131">
        <f t="shared" si="24"/>
        <v>0</v>
      </c>
      <c r="BG24" s="1100"/>
      <c r="BH24" s="1122"/>
      <c r="BI24" s="1124"/>
      <c r="BJ24" s="1100"/>
      <c r="BK24" s="1122"/>
      <c r="BL24" s="1124"/>
      <c r="BM24" s="1100"/>
      <c r="BN24" s="1122"/>
      <c r="BO24" s="1124">
        <f t="shared" si="34"/>
        <v>0</v>
      </c>
      <c r="BP24" s="1100"/>
      <c r="BQ24" s="1122"/>
      <c r="BR24" s="1124"/>
      <c r="BS24" s="1100"/>
      <c r="BT24" s="1122"/>
      <c r="BU24" s="1124">
        <f t="shared" si="25"/>
        <v>0</v>
      </c>
      <c r="BV24" s="1100"/>
      <c r="BW24" s="1122"/>
      <c r="BX24" s="1126">
        <f t="shared" si="26"/>
        <v>0</v>
      </c>
      <c r="BY24" s="1108" t="s">
        <v>890</v>
      </c>
      <c r="BZ24" s="1122">
        <v>0</v>
      </c>
      <c r="CV24" s="30"/>
      <c r="CW24" s="30"/>
      <c r="CX24" s="30"/>
      <c r="CY24" s="30"/>
    </row>
    <row r="25" spans="1:103" s="576" customFormat="1" ht="15.75">
      <c r="A25" s="993"/>
      <c r="B25" s="994" t="s">
        <v>267</v>
      </c>
      <c r="C25" s="1116">
        <f>'проект числ-сть'!M24</f>
        <v>356</v>
      </c>
      <c r="D25" s="1119">
        <f>D26+D27+D28</f>
        <v>35</v>
      </c>
      <c r="E25" s="992">
        <f t="shared" ref="E25:F25" si="51">E26+E27+E28</f>
        <v>0</v>
      </c>
      <c r="F25" s="1120">
        <f t="shared" si="51"/>
        <v>30</v>
      </c>
      <c r="G25" s="1119">
        <f t="shared" ref="G25:BS25" si="52">G26+G27+G28</f>
        <v>65</v>
      </c>
      <c r="H25" s="992">
        <f t="shared" si="52"/>
        <v>192</v>
      </c>
      <c r="I25" s="1120">
        <f t="shared" si="52"/>
        <v>0</v>
      </c>
      <c r="J25" s="1119">
        <f t="shared" si="52"/>
        <v>0</v>
      </c>
      <c r="K25" s="992">
        <f t="shared" si="52"/>
        <v>0</v>
      </c>
      <c r="L25" s="1120">
        <f t="shared" si="52"/>
        <v>0</v>
      </c>
      <c r="M25" s="1119">
        <f t="shared" si="52"/>
        <v>0</v>
      </c>
      <c r="N25" s="992">
        <f t="shared" si="52"/>
        <v>0</v>
      </c>
      <c r="O25" s="1120">
        <f t="shared" si="52"/>
        <v>0</v>
      </c>
      <c r="P25" s="1119">
        <f t="shared" si="52"/>
        <v>0</v>
      </c>
      <c r="Q25" s="992">
        <f t="shared" si="52"/>
        <v>0</v>
      </c>
      <c r="R25" s="1120">
        <f t="shared" si="52"/>
        <v>0</v>
      </c>
      <c r="S25" s="1119">
        <f t="shared" si="52"/>
        <v>0</v>
      </c>
      <c r="T25" s="992">
        <f t="shared" si="52"/>
        <v>1</v>
      </c>
      <c r="U25" s="1120">
        <f t="shared" si="52"/>
        <v>0</v>
      </c>
      <c r="V25" s="1119">
        <f t="shared" si="52"/>
        <v>0</v>
      </c>
      <c r="W25" s="992">
        <f t="shared" si="52"/>
        <v>0</v>
      </c>
      <c r="X25" s="1120">
        <f t="shared" si="52"/>
        <v>0</v>
      </c>
      <c r="Y25" s="1119">
        <f t="shared" si="52"/>
        <v>0</v>
      </c>
      <c r="Z25" s="992">
        <f t="shared" si="52"/>
        <v>0</v>
      </c>
      <c r="AA25" s="1120">
        <f t="shared" si="52"/>
        <v>0</v>
      </c>
      <c r="AB25" s="1119">
        <f t="shared" si="52"/>
        <v>0</v>
      </c>
      <c r="AC25" s="992">
        <f t="shared" si="52"/>
        <v>0</v>
      </c>
      <c r="AD25" s="1120">
        <f t="shared" si="52"/>
        <v>1</v>
      </c>
      <c r="AE25" s="1119">
        <f t="shared" si="52"/>
        <v>0.2</v>
      </c>
      <c r="AF25" s="992" t="s">
        <v>890</v>
      </c>
      <c r="AG25" s="1120">
        <f t="shared" si="52"/>
        <v>0.2</v>
      </c>
      <c r="AH25" s="1119">
        <f t="shared" si="52"/>
        <v>28</v>
      </c>
      <c r="AI25" s="992">
        <f t="shared" si="52"/>
        <v>157.5</v>
      </c>
      <c r="AJ25" s="1120">
        <f t="shared" si="52"/>
        <v>6</v>
      </c>
      <c r="AK25" s="1119">
        <f t="shared" si="52"/>
        <v>106</v>
      </c>
      <c r="AL25" s="992">
        <f t="shared" si="52"/>
        <v>100</v>
      </c>
      <c r="AM25" s="1120">
        <f t="shared" si="52"/>
        <v>0</v>
      </c>
      <c r="AN25" s="1119">
        <f t="shared" si="52"/>
        <v>2</v>
      </c>
      <c r="AO25" s="992">
        <f t="shared" si="52"/>
        <v>0</v>
      </c>
      <c r="AP25" s="1120">
        <f t="shared" si="52"/>
        <v>2</v>
      </c>
      <c r="AQ25" s="1119">
        <f t="shared" si="52"/>
        <v>106</v>
      </c>
      <c r="AR25" s="992" t="s">
        <v>890</v>
      </c>
      <c r="AS25" s="1120">
        <f t="shared" ref="AS25" si="53">AS26+AS27+AS28</f>
        <v>0</v>
      </c>
      <c r="AT25" s="1119">
        <f t="shared" si="52"/>
        <v>14</v>
      </c>
      <c r="AU25" s="992">
        <f t="shared" si="52"/>
        <v>0</v>
      </c>
      <c r="AV25" s="1120">
        <f t="shared" si="52"/>
        <v>15</v>
      </c>
      <c r="AW25" s="1119">
        <f t="shared" si="52"/>
        <v>2</v>
      </c>
      <c r="AX25" s="992">
        <f t="shared" si="52"/>
        <v>0</v>
      </c>
      <c r="AY25" s="1120">
        <f t="shared" si="52"/>
        <v>2</v>
      </c>
      <c r="AZ25" s="1119">
        <f t="shared" si="52"/>
        <v>22</v>
      </c>
      <c r="BA25" s="992">
        <f t="shared" si="52"/>
        <v>0</v>
      </c>
      <c r="BB25" s="1120">
        <f t="shared" si="52"/>
        <v>0</v>
      </c>
      <c r="BC25" s="1135">
        <f t="shared" si="52"/>
        <v>1.3</v>
      </c>
      <c r="BD25" s="992">
        <f t="shared" si="52"/>
        <v>0</v>
      </c>
      <c r="BE25" s="992">
        <f t="shared" si="52"/>
        <v>0</v>
      </c>
      <c r="BF25" s="1137">
        <f t="shared" si="52"/>
        <v>2</v>
      </c>
      <c r="BG25" s="992">
        <f t="shared" si="52"/>
        <v>0</v>
      </c>
      <c r="BH25" s="1120">
        <f t="shared" si="52"/>
        <v>2</v>
      </c>
      <c r="BI25" s="1119">
        <f t="shared" si="52"/>
        <v>0</v>
      </c>
      <c r="BJ25" s="992">
        <f t="shared" si="52"/>
        <v>1</v>
      </c>
      <c r="BK25" s="1120">
        <f t="shared" si="52"/>
        <v>0</v>
      </c>
      <c r="BL25" s="1119">
        <f t="shared" si="52"/>
        <v>0</v>
      </c>
      <c r="BM25" s="992">
        <f t="shared" si="52"/>
        <v>0</v>
      </c>
      <c r="BN25" s="1120">
        <f t="shared" si="52"/>
        <v>1</v>
      </c>
      <c r="BO25" s="992">
        <f t="shared" si="52"/>
        <v>0</v>
      </c>
      <c r="BP25" s="992">
        <f t="shared" si="52"/>
        <v>0</v>
      </c>
      <c r="BQ25" s="1120">
        <f t="shared" si="52"/>
        <v>0</v>
      </c>
      <c r="BR25" s="1119">
        <f t="shared" si="52"/>
        <v>0</v>
      </c>
      <c r="BS25" s="992">
        <f t="shared" si="52"/>
        <v>1</v>
      </c>
      <c r="BT25" s="1120">
        <f t="shared" ref="BT25" si="54">BT26+BT27+BT28</f>
        <v>0</v>
      </c>
      <c r="BU25" s="1119">
        <f t="shared" ref="BU25:BZ25" si="55">BU26+BU27+BU28</f>
        <v>2</v>
      </c>
      <c r="BV25" s="992">
        <f t="shared" si="55"/>
        <v>0</v>
      </c>
      <c r="BW25" s="1120">
        <f t="shared" si="55"/>
        <v>2</v>
      </c>
      <c r="BX25" s="1125">
        <f t="shared" si="55"/>
        <v>0.1</v>
      </c>
      <c r="BY25" s="1107">
        <f t="shared" si="55"/>
        <v>4</v>
      </c>
      <c r="BZ25" s="1120">
        <f t="shared" si="55"/>
        <v>0</v>
      </c>
      <c r="CA25" s="227"/>
      <c r="CB25" s="227"/>
      <c r="CC25" s="227"/>
      <c r="CD25" s="227"/>
      <c r="CE25" s="227"/>
      <c r="CF25" s="227"/>
      <c r="CG25" s="227"/>
      <c r="CH25" s="227"/>
      <c r="CI25" s="227"/>
      <c r="CJ25" s="227"/>
      <c r="CK25" s="227"/>
      <c r="CL25" s="227"/>
      <c r="CM25" s="227"/>
      <c r="CN25" s="227"/>
      <c r="CO25" s="227"/>
      <c r="CP25" s="227"/>
      <c r="CQ25" s="227"/>
      <c r="CR25" s="227"/>
      <c r="CS25" s="227"/>
      <c r="CT25" s="227"/>
      <c r="CU25" s="227"/>
    </row>
    <row r="26" spans="1:103" ht="15.75">
      <c r="A26" s="995">
        <v>12</v>
      </c>
      <c r="B26" s="996" t="s">
        <v>700</v>
      </c>
      <c r="C26" s="1117">
        <f>'проект числ-сть'!M25</f>
        <v>281</v>
      </c>
      <c r="D26" s="1121">
        <f t="shared" si="11"/>
        <v>28</v>
      </c>
      <c r="E26" s="1100"/>
      <c r="F26" s="1122">
        <v>30</v>
      </c>
      <c r="G26" s="1121">
        <f t="shared" si="12"/>
        <v>51</v>
      </c>
      <c r="H26" s="1100">
        <v>192</v>
      </c>
      <c r="I26" s="1122"/>
      <c r="J26" s="1124"/>
      <c r="K26" s="1100"/>
      <c r="L26" s="1122"/>
      <c r="M26" s="1124"/>
      <c r="N26" s="1100"/>
      <c r="O26" s="1122"/>
      <c r="P26" s="1124"/>
      <c r="Q26" s="1100"/>
      <c r="R26" s="1122"/>
      <c r="S26" s="1124"/>
      <c r="T26" s="1100">
        <v>1</v>
      </c>
      <c r="U26" s="1122"/>
      <c r="V26" s="1124"/>
      <c r="W26" s="1100"/>
      <c r="X26" s="1122"/>
      <c r="Y26" s="1124"/>
      <c r="Z26" s="1100"/>
      <c r="AA26" s="1122"/>
      <c r="AB26" s="1124"/>
      <c r="AC26" s="1100"/>
      <c r="AD26" s="1122">
        <v>1</v>
      </c>
      <c r="AE26" s="1124">
        <f t="shared" si="13"/>
        <v>0.2</v>
      </c>
      <c r="AF26" s="1100"/>
      <c r="AG26" s="1122">
        <f t="shared" si="14"/>
        <v>0.2</v>
      </c>
      <c r="AH26" s="1124">
        <f t="shared" si="15"/>
        <v>22</v>
      </c>
      <c r="AI26" s="1100">
        <v>157.5</v>
      </c>
      <c r="AJ26" s="1122">
        <f t="shared" si="16"/>
        <v>0</v>
      </c>
      <c r="AK26" s="1124">
        <f t="shared" si="17"/>
        <v>84</v>
      </c>
      <c r="AL26" s="1100">
        <v>100</v>
      </c>
      <c r="AM26" s="1122"/>
      <c r="AN26" s="1124">
        <f t="shared" si="18"/>
        <v>2</v>
      </c>
      <c r="AO26" s="1100">
        <v>0</v>
      </c>
      <c r="AP26" s="1122">
        <f t="shared" si="19"/>
        <v>2</v>
      </c>
      <c r="AQ26" s="1124">
        <f t="shared" si="20"/>
        <v>84</v>
      </c>
      <c r="AR26" s="1105"/>
      <c r="AS26" s="1122"/>
      <c r="AT26" s="1124">
        <f t="shared" si="21"/>
        <v>11</v>
      </c>
      <c r="AU26" s="1100"/>
      <c r="AV26" s="1122">
        <v>15</v>
      </c>
      <c r="AW26" s="1124">
        <f t="shared" si="5"/>
        <v>2</v>
      </c>
      <c r="AX26" s="1100"/>
      <c r="AY26" s="1122">
        <v>2</v>
      </c>
      <c r="AZ26" s="1124">
        <f t="shared" si="22"/>
        <v>17</v>
      </c>
      <c r="BA26" s="1100"/>
      <c r="BB26" s="1122"/>
      <c r="BC26" s="1136">
        <f t="shared" si="23"/>
        <v>1</v>
      </c>
      <c r="BD26" s="1130"/>
      <c r="BE26" s="1130"/>
      <c r="BF26" s="1131">
        <f t="shared" si="24"/>
        <v>2</v>
      </c>
      <c r="BG26" s="1100"/>
      <c r="BH26" s="1122">
        <v>2</v>
      </c>
      <c r="BI26" s="1124"/>
      <c r="BJ26" s="1100">
        <v>1</v>
      </c>
      <c r="BK26" s="1122"/>
      <c r="BL26" s="1124"/>
      <c r="BM26" s="1100">
        <v>0</v>
      </c>
      <c r="BN26" s="1122">
        <v>1</v>
      </c>
      <c r="BO26" s="1124">
        <f t="shared" si="34"/>
        <v>0</v>
      </c>
      <c r="BP26" s="1100"/>
      <c r="BQ26" s="1122"/>
      <c r="BR26" s="1124"/>
      <c r="BS26" s="1100">
        <v>1</v>
      </c>
      <c r="BT26" s="1122"/>
      <c r="BU26" s="1124">
        <f t="shared" si="25"/>
        <v>2</v>
      </c>
      <c r="BV26" s="1100"/>
      <c r="BW26" s="1122">
        <v>2</v>
      </c>
      <c r="BX26" s="1126">
        <f t="shared" si="26"/>
        <v>0.1</v>
      </c>
      <c r="BY26" s="1108">
        <v>4</v>
      </c>
      <c r="BZ26" s="1122">
        <f t="shared" si="27"/>
        <v>0</v>
      </c>
      <c r="CV26" s="30"/>
      <c r="CW26" s="30"/>
      <c r="CX26" s="30"/>
      <c r="CY26" s="30"/>
    </row>
    <row r="27" spans="1:103" ht="15.75">
      <c r="A27" s="995">
        <v>13</v>
      </c>
      <c r="B27" s="996" t="s">
        <v>620</v>
      </c>
      <c r="C27" s="1117">
        <f>'проект числ-сть'!M26</f>
        <v>44</v>
      </c>
      <c r="D27" s="1121">
        <f t="shared" si="11"/>
        <v>4</v>
      </c>
      <c r="E27" s="1100"/>
      <c r="F27" s="1122"/>
      <c r="G27" s="1121">
        <f t="shared" si="12"/>
        <v>8</v>
      </c>
      <c r="H27" s="1100"/>
      <c r="I27" s="1122"/>
      <c r="J27" s="1124"/>
      <c r="K27" s="1100"/>
      <c r="L27" s="1122"/>
      <c r="M27" s="1124"/>
      <c r="N27" s="1100"/>
      <c r="O27" s="1122"/>
      <c r="P27" s="1124"/>
      <c r="Q27" s="1100"/>
      <c r="R27" s="1122"/>
      <c r="S27" s="1124"/>
      <c r="T27" s="1100"/>
      <c r="U27" s="1122"/>
      <c r="V27" s="1124"/>
      <c r="W27" s="1100"/>
      <c r="X27" s="1122"/>
      <c r="Y27" s="1124"/>
      <c r="Z27" s="1100"/>
      <c r="AA27" s="1122"/>
      <c r="AB27" s="1124"/>
      <c r="AC27" s="1100"/>
      <c r="AD27" s="1122"/>
      <c r="AE27" s="1124">
        <f t="shared" si="13"/>
        <v>0</v>
      </c>
      <c r="AF27" s="1100"/>
      <c r="AG27" s="1122">
        <f t="shared" si="14"/>
        <v>0</v>
      </c>
      <c r="AH27" s="1124">
        <f t="shared" si="15"/>
        <v>4</v>
      </c>
      <c r="AI27" s="1100"/>
      <c r="AJ27" s="1122">
        <f t="shared" si="16"/>
        <v>4</v>
      </c>
      <c r="AK27" s="1124">
        <f t="shared" si="17"/>
        <v>13</v>
      </c>
      <c r="AL27" s="1100">
        <v>0</v>
      </c>
      <c r="AM27" s="1122"/>
      <c r="AN27" s="1124">
        <f t="shared" si="18"/>
        <v>0</v>
      </c>
      <c r="AO27" s="1100"/>
      <c r="AP27" s="1122">
        <f t="shared" si="19"/>
        <v>0</v>
      </c>
      <c r="AQ27" s="1124">
        <f t="shared" si="20"/>
        <v>13</v>
      </c>
      <c r="AR27" s="1105"/>
      <c r="AS27" s="1122"/>
      <c r="AT27" s="1124">
        <f t="shared" si="21"/>
        <v>2</v>
      </c>
      <c r="AU27" s="1100"/>
      <c r="AV27" s="1122"/>
      <c r="AW27" s="1124">
        <f t="shared" si="5"/>
        <v>0</v>
      </c>
      <c r="AX27" s="1100"/>
      <c r="AY27" s="1122"/>
      <c r="AZ27" s="1124">
        <f t="shared" si="22"/>
        <v>3</v>
      </c>
      <c r="BA27" s="1100"/>
      <c r="BB27" s="1122"/>
      <c r="BC27" s="1136">
        <f t="shared" si="23"/>
        <v>0.2</v>
      </c>
      <c r="BD27" s="1130"/>
      <c r="BE27" s="1130"/>
      <c r="BF27" s="1131">
        <f t="shared" si="24"/>
        <v>0</v>
      </c>
      <c r="BG27" s="1100"/>
      <c r="BH27" s="1122"/>
      <c r="BI27" s="1124"/>
      <c r="BJ27" s="1100"/>
      <c r="BK27" s="1122"/>
      <c r="BL27" s="1124"/>
      <c r="BM27" s="1100"/>
      <c r="BN27" s="1122"/>
      <c r="BO27" s="1124">
        <f t="shared" si="34"/>
        <v>0</v>
      </c>
      <c r="BP27" s="1100"/>
      <c r="BQ27" s="1122"/>
      <c r="BR27" s="1124"/>
      <c r="BS27" s="1100"/>
      <c r="BT27" s="1122"/>
      <c r="BU27" s="1124">
        <f t="shared" si="25"/>
        <v>0</v>
      </c>
      <c r="BV27" s="1100"/>
      <c r="BW27" s="1122"/>
      <c r="BX27" s="1126">
        <f t="shared" si="26"/>
        <v>0</v>
      </c>
      <c r="BY27" s="1108"/>
      <c r="BZ27" s="1122">
        <f t="shared" si="27"/>
        <v>0</v>
      </c>
      <c r="CV27" s="30"/>
      <c r="CW27" s="30"/>
      <c r="CX27" s="30"/>
      <c r="CY27" s="30"/>
    </row>
    <row r="28" spans="1:103" s="576" customFormat="1" ht="15.75">
      <c r="A28" s="995">
        <v>14</v>
      </c>
      <c r="B28" s="996" t="s">
        <v>621</v>
      </c>
      <c r="C28" s="1117">
        <f>'проект числ-сть'!M27</f>
        <v>31</v>
      </c>
      <c r="D28" s="1121">
        <f t="shared" si="11"/>
        <v>3</v>
      </c>
      <c r="E28" s="1100"/>
      <c r="F28" s="1122"/>
      <c r="G28" s="1121">
        <f t="shared" si="12"/>
        <v>6</v>
      </c>
      <c r="H28" s="1100"/>
      <c r="I28" s="1122"/>
      <c r="J28" s="1124"/>
      <c r="K28" s="1100"/>
      <c r="L28" s="1122"/>
      <c r="M28" s="1124"/>
      <c r="N28" s="1100"/>
      <c r="O28" s="1122"/>
      <c r="P28" s="1124"/>
      <c r="Q28" s="1100"/>
      <c r="R28" s="1122"/>
      <c r="S28" s="1124"/>
      <c r="T28" s="1100"/>
      <c r="U28" s="1122"/>
      <c r="V28" s="1124"/>
      <c r="W28" s="1100"/>
      <c r="X28" s="1122"/>
      <c r="Y28" s="1124"/>
      <c r="Z28" s="1100"/>
      <c r="AA28" s="1122"/>
      <c r="AB28" s="1124"/>
      <c r="AC28" s="1100"/>
      <c r="AD28" s="1122"/>
      <c r="AE28" s="1124">
        <f t="shared" si="13"/>
        <v>0</v>
      </c>
      <c r="AF28" s="1100"/>
      <c r="AG28" s="1122">
        <f t="shared" si="14"/>
        <v>0</v>
      </c>
      <c r="AH28" s="1124">
        <f t="shared" si="15"/>
        <v>2</v>
      </c>
      <c r="AI28" s="1100"/>
      <c r="AJ28" s="1122">
        <f t="shared" si="16"/>
        <v>2</v>
      </c>
      <c r="AK28" s="1124">
        <f t="shared" si="17"/>
        <v>9</v>
      </c>
      <c r="AL28" s="1100"/>
      <c r="AM28" s="1122"/>
      <c r="AN28" s="1124">
        <f t="shared" si="18"/>
        <v>0</v>
      </c>
      <c r="AO28" s="1100"/>
      <c r="AP28" s="1122">
        <f t="shared" si="19"/>
        <v>0</v>
      </c>
      <c r="AQ28" s="1124">
        <f t="shared" si="20"/>
        <v>9</v>
      </c>
      <c r="AR28" s="1105"/>
      <c r="AS28" s="1122"/>
      <c r="AT28" s="1124">
        <f t="shared" si="21"/>
        <v>1</v>
      </c>
      <c r="AU28" s="1100"/>
      <c r="AV28" s="1122"/>
      <c r="AW28" s="1124">
        <f t="shared" si="5"/>
        <v>0</v>
      </c>
      <c r="AX28" s="1100"/>
      <c r="AY28" s="1122"/>
      <c r="AZ28" s="1124">
        <f t="shared" si="22"/>
        <v>2</v>
      </c>
      <c r="BA28" s="1100"/>
      <c r="BB28" s="1122"/>
      <c r="BC28" s="1136">
        <f t="shared" si="23"/>
        <v>0.1</v>
      </c>
      <c r="BD28" s="1130"/>
      <c r="BE28" s="1130"/>
      <c r="BF28" s="1131">
        <f t="shared" si="24"/>
        <v>0</v>
      </c>
      <c r="BG28" s="1100"/>
      <c r="BH28" s="1122"/>
      <c r="BI28" s="1124"/>
      <c r="BJ28" s="1100"/>
      <c r="BK28" s="1122"/>
      <c r="BL28" s="1124"/>
      <c r="BM28" s="1100"/>
      <c r="BN28" s="1122"/>
      <c r="BO28" s="1124">
        <f t="shared" si="34"/>
        <v>0</v>
      </c>
      <c r="BP28" s="1100"/>
      <c r="BQ28" s="1122"/>
      <c r="BR28" s="1124"/>
      <c r="BS28" s="1100"/>
      <c r="BT28" s="1122"/>
      <c r="BU28" s="1124">
        <f t="shared" si="25"/>
        <v>0</v>
      </c>
      <c r="BV28" s="1100"/>
      <c r="BW28" s="1122"/>
      <c r="BX28" s="1126">
        <f t="shared" si="26"/>
        <v>0</v>
      </c>
      <c r="BY28" s="1108"/>
      <c r="BZ28" s="1122">
        <f t="shared" si="27"/>
        <v>0</v>
      </c>
      <c r="CA28" s="227"/>
      <c r="CB28" s="227"/>
      <c r="CC28" s="227"/>
      <c r="CD28" s="227"/>
      <c r="CE28" s="227"/>
      <c r="CF28" s="227"/>
      <c r="CG28" s="227"/>
      <c r="CH28" s="227"/>
      <c r="CI28" s="227"/>
      <c r="CJ28" s="227"/>
      <c r="CK28" s="227"/>
      <c r="CL28" s="227"/>
      <c r="CM28" s="227"/>
      <c r="CN28" s="227"/>
      <c r="CO28" s="227"/>
      <c r="CP28" s="227"/>
      <c r="CQ28" s="227"/>
      <c r="CR28" s="227"/>
      <c r="CS28" s="227"/>
      <c r="CT28" s="227"/>
      <c r="CU28" s="227"/>
      <c r="CV28" s="30"/>
      <c r="CW28" s="30"/>
      <c r="CX28" s="30"/>
      <c r="CY28" s="30"/>
    </row>
    <row r="29" spans="1:103" s="576" customFormat="1" ht="15.75">
      <c r="A29" s="993"/>
      <c r="B29" s="994" t="s">
        <v>271</v>
      </c>
      <c r="C29" s="1116">
        <f>'проект числ-сть'!M28</f>
        <v>1404</v>
      </c>
      <c r="D29" s="1119">
        <f>D30+D31+D32+D33+D34</f>
        <v>141</v>
      </c>
      <c r="E29" s="992">
        <f t="shared" ref="E29:F29" si="56">E30+E31+E32+E33+E34</f>
        <v>25</v>
      </c>
      <c r="F29" s="1120">
        <f t="shared" si="56"/>
        <v>90</v>
      </c>
      <c r="G29" s="1119">
        <f t="shared" ref="G29:BS29" si="57">G30+G31+G32+G33+G34</f>
        <v>253</v>
      </c>
      <c r="H29" s="992">
        <f t="shared" si="57"/>
        <v>610</v>
      </c>
      <c r="I29" s="1120">
        <f t="shared" si="57"/>
        <v>120</v>
      </c>
      <c r="J29" s="1119">
        <f t="shared" si="57"/>
        <v>0</v>
      </c>
      <c r="K29" s="992">
        <f t="shared" si="57"/>
        <v>0</v>
      </c>
      <c r="L29" s="1120">
        <f t="shared" si="57"/>
        <v>0</v>
      </c>
      <c r="M29" s="1119">
        <f t="shared" si="57"/>
        <v>0</v>
      </c>
      <c r="N29" s="992">
        <f t="shared" si="57"/>
        <v>0</v>
      </c>
      <c r="O29" s="1120">
        <f t="shared" si="57"/>
        <v>0</v>
      </c>
      <c r="P29" s="1119">
        <f t="shared" si="57"/>
        <v>0</v>
      </c>
      <c r="Q29" s="992">
        <f t="shared" si="57"/>
        <v>0</v>
      </c>
      <c r="R29" s="1120">
        <f t="shared" si="57"/>
        <v>0</v>
      </c>
      <c r="S29" s="1119">
        <f t="shared" si="57"/>
        <v>0</v>
      </c>
      <c r="T29" s="992">
        <f t="shared" si="57"/>
        <v>1</v>
      </c>
      <c r="U29" s="1120">
        <f t="shared" si="57"/>
        <v>2</v>
      </c>
      <c r="V29" s="1119">
        <f t="shared" si="57"/>
        <v>0</v>
      </c>
      <c r="W29" s="992">
        <f t="shared" si="57"/>
        <v>0</v>
      </c>
      <c r="X29" s="1120">
        <f t="shared" si="57"/>
        <v>0</v>
      </c>
      <c r="Y29" s="1119">
        <f t="shared" si="57"/>
        <v>0</v>
      </c>
      <c r="Z29" s="992">
        <f t="shared" si="57"/>
        <v>0</v>
      </c>
      <c r="AA29" s="1120">
        <f t="shared" si="57"/>
        <v>0</v>
      </c>
      <c r="AB29" s="1119">
        <f t="shared" si="57"/>
        <v>0</v>
      </c>
      <c r="AC29" s="992">
        <f t="shared" si="57"/>
        <v>0</v>
      </c>
      <c r="AD29" s="1120">
        <f t="shared" si="57"/>
        <v>3</v>
      </c>
      <c r="AE29" s="1119">
        <f t="shared" si="57"/>
        <v>1</v>
      </c>
      <c r="AF29" s="992" t="s">
        <v>890</v>
      </c>
      <c r="AG29" s="1120">
        <f t="shared" si="57"/>
        <v>1</v>
      </c>
      <c r="AH29" s="1119">
        <f t="shared" si="57"/>
        <v>112</v>
      </c>
      <c r="AI29" s="992">
        <f t="shared" si="57"/>
        <v>324</v>
      </c>
      <c r="AJ29" s="1120">
        <f t="shared" si="57"/>
        <v>59</v>
      </c>
      <c r="AK29" s="1119">
        <f t="shared" si="57"/>
        <v>422</v>
      </c>
      <c r="AL29" s="992">
        <f t="shared" si="57"/>
        <v>0</v>
      </c>
      <c r="AM29" s="1120">
        <f t="shared" si="57"/>
        <v>400</v>
      </c>
      <c r="AN29" s="1119">
        <f t="shared" si="57"/>
        <v>8</v>
      </c>
      <c r="AO29" s="992">
        <f t="shared" si="57"/>
        <v>10</v>
      </c>
      <c r="AP29" s="1120">
        <f t="shared" si="57"/>
        <v>11</v>
      </c>
      <c r="AQ29" s="1119">
        <f t="shared" si="57"/>
        <v>422</v>
      </c>
      <c r="AR29" s="992" t="s">
        <v>890</v>
      </c>
      <c r="AS29" s="1120">
        <f t="shared" ref="AS29" si="58">AS30+AS31+AS32+AS33+AS34</f>
        <v>120</v>
      </c>
      <c r="AT29" s="1119">
        <f t="shared" si="57"/>
        <v>57</v>
      </c>
      <c r="AU29" s="992">
        <f t="shared" si="57"/>
        <v>0</v>
      </c>
      <c r="AV29" s="1120">
        <f t="shared" si="57"/>
        <v>60</v>
      </c>
      <c r="AW29" s="1119">
        <f t="shared" si="57"/>
        <v>10</v>
      </c>
      <c r="AX29" s="992">
        <f t="shared" si="57"/>
        <v>0</v>
      </c>
      <c r="AY29" s="1120">
        <f t="shared" si="57"/>
        <v>10</v>
      </c>
      <c r="AZ29" s="1119">
        <f t="shared" si="57"/>
        <v>84</v>
      </c>
      <c r="BA29" s="992">
        <f t="shared" si="57"/>
        <v>0</v>
      </c>
      <c r="BB29" s="1120">
        <f t="shared" si="57"/>
        <v>100</v>
      </c>
      <c r="BC29" s="1135">
        <f t="shared" si="57"/>
        <v>5</v>
      </c>
      <c r="BD29" s="992">
        <f t="shared" si="57"/>
        <v>0</v>
      </c>
      <c r="BE29" s="992">
        <f t="shared" si="57"/>
        <v>0</v>
      </c>
      <c r="BF29" s="1137">
        <f t="shared" si="57"/>
        <v>10</v>
      </c>
      <c r="BG29" s="992">
        <f t="shared" si="57"/>
        <v>0</v>
      </c>
      <c r="BH29" s="1120">
        <f t="shared" si="57"/>
        <v>10</v>
      </c>
      <c r="BI29" s="1119">
        <f t="shared" si="57"/>
        <v>0</v>
      </c>
      <c r="BJ29" s="992">
        <f t="shared" si="57"/>
        <v>2</v>
      </c>
      <c r="BK29" s="1120">
        <f t="shared" si="57"/>
        <v>0</v>
      </c>
      <c r="BL29" s="1119">
        <f t="shared" si="57"/>
        <v>0</v>
      </c>
      <c r="BM29" s="992">
        <f t="shared" si="57"/>
        <v>2</v>
      </c>
      <c r="BN29" s="1120">
        <f t="shared" si="57"/>
        <v>1</v>
      </c>
      <c r="BO29" s="992">
        <f t="shared" si="57"/>
        <v>1</v>
      </c>
      <c r="BP29" s="992">
        <f t="shared" si="57"/>
        <v>1</v>
      </c>
      <c r="BQ29" s="1120">
        <f t="shared" si="57"/>
        <v>0</v>
      </c>
      <c r="BR29" s="1119">
        <f t="shared" si="57"/>
        <v>0</v>
      </c>
      <c r="BS29" s="992">
        <f t="shared" si="57"/>
        <v>0</v>
      </c>
      <c r="BT29" s="1120">
        <f t="shared" ref="BT29" si="59">BT30+BT31+BT32+BT33+BT34</f>
        <v>2</v>
      </c>
      <c r="BU29" s="1119">
        <f t="shared" ref="BU29:BZ29" si="60">BU30+BU31+BU32+BU33+BU34</f>
        <v>8</v>
      </c>
      <c r="BV29" s="992">
        <f t="shared" si="60"/>
        <v>0</v>
      </c>
      <c r="BW29" s="1120">
        <f t="shared" si="60"/>
        <v>9</v>
      </c>
      <c r="BX29" s="1125">
        <f t="shared" si="60"/>
        <v>0.30000000000000004</v>
      </c>
      <c r="BY29" s="1107">
        <f t="shared" si="60"/>
        <v>4</v>
      </c>
      <c r="BZ29" s="1120">
        <f t="shared" si="60"/>
        <v>0</v>
      </c>
      <c r="CA29" s="227"/>
      <c r="CB29" s="227"/>
      <c r="CC29" s="227"/>
      <c r="CD29" s="227"/>
      <c r="CE29" s="227"/>
      <c r="CF29" s="227"/>
      <c r="CG29" s="227"/>
      <c r="CH29" s="227"/>
      <c r="CI29" s="227"/>
      <c r="CJ29" s="227"/>
      <c r="CK29" s="227"/>
      <c r="CL29" s="227"/>
      <c r="CM29" s="227"/>
      <c r="CN29" s="227"/>
      <c r="CO29" s="227"/>
      <c r="CP29" s="227"/>
      <c r="CQ29" s="227"/>
      <c r="CR29" s="227"/>
      <c r="CS29" s="227"/>
      <c r="CT29" s="227"/>
      <c r="CU29" s="227"/>
    </row>
    <row r="30" spans="1:103" ht="15.75">
      <c r="A30" s="995">
        <v>15</v>
      </c>
      <c r="B30" s="996" t="s">
        <v>602</v>
      </c>
      <c r="C30" s="1117">
        <f>'проект числ-сть'!M29</f>
        <v>425</v>
      </c>
      <c r="D30" s="1121">
        <f t="shared" si="11"/>
        <v>43</v>
      </c>
      <c r="E30" s="1100">
        <v>25</v>
      </c>
      <c r="F30" s="1122">
        <v>20</v>
      </c>
      <c r="G30" s="1121">
        <f t="shared" si="12"/>
        <v>77</v>
      </c>
      <c r="H30" s="1100">
        <v>320</v>
      </c>
      <c r="I30" s="1122"/>
      <c r="J30" s="1124"/>
      <c r="K30" s="1100"/>
      <c r="L30" s="1122"/>
      <c r="M30" s="1124"/>
      <c r="N30" s="1100"/>
      <c r="O30" s="1122"/>
      <c r="P30" s="1124"/>
      <c r="Q30" s="1100"/>
      <c r="R30" s="1122"/>
      <c r="S30" s="1124"/>
      <c r="T30" s="1100">
        <v>1</v>
      </c>
      <c r="U30" s="1122"/>
      <c r="V30" s="1124"/>
      <c r="W30" s="1100"/>
      <c r="X30" s="1122"/>
      <c r="Y30" s="1124"/>
      <c r="Z30" s="1100"/>
      <c r="AA30" s="1122"/>
      <c r="AB30" s="1124"/>
      <c r="AC30" s="1100"/>
      <c r="AD30" s="1122">
        <v>1</v>
      </c>
      <c r="AE30" s="1124">
        <f t="shared" si="13"/>
        <v>0.3</v>
      </c>
      <c r="AF30" s="1100"/>
      <c r="AG30" s="1122">
        <f t="shared" si="14"/>
        <v>0.3</v>
      </c>
      <c r="AH30" s="1124">
        <f t="shared" si="15"/>
        <v>34</v>
      </c>
      <c r="AI30" s="1100">
        <v>162</v>
      </c>
      <c r="AJ30" s="1122">
        <f t="shared" si="16"/>
        <v>0</v>
      </c>
      <c r="AK30" s="1124">
        <f t="shared" si="17"/>
        <v>128</v>
      </c>
      <c r="AL30" s="1100">
        <v>0</v>
      </c>
      <c r="AM30" s="1122">
        <v>150</v>
      </c>
      <c r="AN30" s="1124">
        <f t="shared" si="18"/>
        <v>3</v>
      </c>
      <c r="AO30" s="1100">
        <v>10</v>
      </c>
      <c r="AP30" s="1122">
        <f t="shared" si="19"/>
        <v>0</v>
      </c>
      <c r="AQ30" s="1124">
        <f t="shared" si="20"/>
        <v>128</v>
      </c>
      <c r="AR30" s="1105"/>
      <c r="AS30" s="1122"/>
      <c r="AT30" s="1124">
        <f t="shared" si="21"/>
        <v>17</v>
      </c>
      <c r="AU30" s="1100"/>
      <c r="AV30" s="1122">
        <v>30</v>
      </c>
      <c r="AW30" s="1124">
        <f t="shared" si="5"/>
        <v>3</v>
      </c>
      <c r="AX30" s="1100"/>
      <c r="AY30" s="1122">
        <v>5</v>
      </c>
      <c r="AZ30" s="1124">
        <f t="shared" si="22"/>
        <v>26</v>
      </c>
      <c r="BA30" s="1100"/>
      <c r="BB30" s="1122"/>
      <c r="BC30" s="1136">
        <f t="shared" si="23"/>
        <v>1.5</v>
      </c>
      <c r="BD30" s="1130"/>
      <c r="BE30" s="1130"/>
      <c r="BF30" s="1131">
        <f t="shared" si="24"/>
        <v>3</v>
      </c>
      <c r="BG30" s="1100"/>
      <c r="BH30" s="1122">
        <v>5</v>
      </c>
      <c r="BI30" s="1124"/>
      <c r="BJ30" s="1100">
        <v>1</v>
      </c>
      <c r="BK30" s="1122"/>
      <c r="BL30" s="1124"/>
      <c r="BM30" s="1100">
        <v>1</v>
      </c>
      <c r="BN30" s="1122"/>
      <c r="BO30" s="1124">
        <f t="shared" si="34"/>
        <v>0</v>
      </c>
      <c r="BP30" s="1100"/>
      <c r="BQ30" s="1122"/>
      <c r="BR30" s="1124"/>
      <c r="BS30" s="1100">
        <v>0</v>
      </c>
      <c r="BT30" s="1122">
        <v>1</v>
      </c>
      <c r="BU30" s="1124">
        <f t="shared" si="25"/>
        <v>3</v>
      </c>
      <c r="BV30" s="1100"/>
      <c r="BW30" s="1122">
        <v>4</v>
      </c>
      <c r="BX30" s="1126">
        <f t="shared" si="26"/>
        <v>0.1</v>
      </c>
      <c r="BY30" s="1108">
        <v>1.4</v>
      </c>
      <c r="BZ30" s="1122">
        <f t="shared" si="27"/>
        <v>0</v>
      </c>
      <c r="CV30" s="30"/>
      <c r="CW30" s="30"/>
      <c r="CX30" s="30"/>
      <c r="CY30" s="30"/>
    </row>
    <row r="31" spans="1:103" s="576" customFormat="1" ht="15.75">
      <c r="A31" s="995">
        <v>16</v>
      </c>
      <c r="B31" s="996" t="s">
        <v>701</v>
      </c>
      <c r="C31" s="1117">
        <f>'проект числ-сть'!M30</f>
        <v>72</v>
      </c>
      <c r="D31" s="1121">
        <f t="shared" si="11"/>
        <v>7</v>
      </c>
      <c r="E31" s="1100"/>
      <c r="F31" s="1122"/>
      <c r="G31" s="1121">
        <f t="shared" si="12"/>
        <v>13</v>
      </c>
      <c r="H31" s="1100"/>
      <c r="I31" s="1122"/>
      <c r="J31" s="1124"/>
      <c r="K31" s="1100"/>
      <c r="L31" s="1122"/>
      <c r="M31" s="1124"/>
      <c r="N31" s="1100"/>
      <c r="O31" s="1122"/>
      <c r="P31" s="1124"/>
      <c r="Q31" s="1100"/>
      <c r="R31" s="1122"/>
      <c r="S31" s="1124"/>
      <c r="T31" s="1100"/>
      <c r="U31" s="1122"/>
      <c r="V31" s="1124"/>
      <c r="W31" s="1100"/>
      <c r="X31" s="1122"/>
      <c r="Y31" s="1124"/>
      <c r="Z31" s="1100"/>
      <c r="AA31" s="1122"/>
      <c r="AB31" s="1124"/>
      <c r="AC31" s="1100"/>
      <c r="AD31" s="1122"/>
      <c r="AE31" s="1124">
        <f t="shared" si="13"/>
        <v>0.1</v>
      </c>
      <c r="AF31" s="1100"/>
      <c r="AG31" s="1122">
        <f t="shared" si="14"/>
        <v>0.1</v>
      </c>
      <c r="AH31" s="1124">
        <f t="shared" si="15"/>
        <v>6</v>
      </c>
      <c r="AI31" s="1100"/>
      <c r="AJ31" s="1122">
        <f t="shared" si="16"/>
        <v>6</v>
      </c>
      <c r="AK31" s="1124">
        <f t="shared" si="17"/>
        <v>22</v>
      </c>
      <c r="AL31" s="1100">
        <v>0</v>
      </c>
      <c r="AM31" s="1122"/>
      <c r="AN31" s="1124">
        <f t="shared" si="18"/>
        <v>0</v>
      </c>
      <c r="AO31" s="1100"/>
      <c r="AP31" s="1122">
        <f t="shared" si="19"/>
        <v>0</v>
      </c>
      <c r="AQ31" s="1124">
        <f t="shared" si="20"/>
        <v>22</v>
      </c>
      <c r="AR31" s="1105"/>
      <c r="AS31" s="1122"/>
      <c r="AT31" s="1124">
        <f t="shared" si="21"/>
        <v>3</v>
      </c>
      <c r="AU31" s="1100"/>
      <c r="AV31" s="1122"/>
      <c r="AW31" s="1124">
        <f t="shared" si="5"/>
        <v>1</v>
      </c>
      <c r="AX31" s="1100"/>
      <c r="AY31" s="1122"/>
      <c r="AZ31" s="1124">
        <f t="shared" si="22"/>
        <v>4</v>
      </c>
      <c r="BA31" s="1100"/>
      <c r="BB31" s="1122"/>
      <c r="BC31" s="1136">
        <f t="shared" si="23"/>
        <v>0.3</v>
      </c>
      <c r="BD31" s="1130"/>
      <c r="BE31" s="1130"/>
      <c r="BF31" s="1131">
        <f t="shared" si="24"/>
        <v>1</v>
      </c>
      <c r="BG31" s="1100"/>
      <c r="BH31" s="1122"/>
      <c r="BI31" s="1124"/>
      <c r="BJ31" s="1100"/>
      <c r="BK31" s="1122"/>
      <c r="BL31" s="1124"/>
      <c r="BM31" s="1100"/>
      <c r="BN31" s="1122"/>
      <c r="BO31" s="1124">
        <f t="shared" si="34"/>
        <v>0</v>
      </c>
      <c r="BP31" s="1100"/>
      <c r="BQ31" s="1122"/>
      <c r="BR31" s="1124"/>
      <c r="BS31" s="1100"/>
      <c r="BT31" s="1122"/>
      <c r="BU31" s="1124">
        <f t="shared" si="25"/>
        <v>0</v>
      </c>
      <c r="BV31" s="1100"/>
      <c r="BW31" s="1122"/>
      <c r="BX31" s="1126">
        <f t="shared" si="26"/>
        <v>0</v>
      </c>
      <c r="BY31" s="1108">
        <v>0.6</v>
      </c>
      <c r="BZ31" s="1122">
        <f t="shared" si="27"/>
        <v>0</v>
      </c>
      <c r="CA31" s="227"/>
      <c r="CB31" s="227"/>
      <c r="CC31" s="227"/>
      <c r="CD31" s="227"/>
      <c r="CE31" s="227"/>
      <c r="CF31" s="227"/>
      <c r="CG31" s="227"/>
      <c r="CH31" s="227"/>
      <c r="CI31" s="227"/>
      <c r="CJ31" s="227"/>
      <c r="CK31" s="227"/>
      <c r="CL31" s="227"/>
      <c r="CM31" s="227"/>
      <c r="CN31" s="227"/>
      <c r="CO31" s="227"/>
      <c r="CP31" s="227"/>
      <c r="CQ31" s="227"/>
      <c r="CR31" s="227"/>
      <c r="CS31" s="227"/>
      <c r="CT31" s="227"/>
      <c r="CU31" s="227"/>
      <c r="CV31" s="30"/>
      <c r="CW31" s="30"/>
      <c r="CX31" s="30"/>
      <c r="CY31" s="30"/>
    </row>
    <row r="32" spans="1:103" s="30" customFormat="1" ht="15.75">
      <c r="A32" s="998">
        <v>17</v>
      </c>
      <c r="B32" s="1001" t="s">
        <v>605</v>
      </c>
      <c r="C32" s="1117">
        <f>'проект числ-сть'!M31</f>
        <v>675</v>
      </c>
      <c r="D32" s="1121">
        <f t="shared" si="11"/>
        <v>68</v>
      </c>
      <c r="E32" s="1130">
        <v>0</v>
      </c>
      <c r="F32" s="1122">
        <v>50</v>
      </c>
      <c r="G32" s="1121">
        <f t="shared" si="12"/>
        <v>122</v>
      </c>
      <c r="H32" s="1130">
        <v>0</v>
      </c>
      <c r="I32" s="1122">
        <v>120</v>
      </c>
      <c r="J32" s="1124"/>
      <c r="K32" s="1130"/>
      <c r="L32" s="1122"/>
      <c r="M32" s="1124"/>
      <c r="N32" s="1130"/>
      <c r="O32" s="1122"/>
      <c r="P32" s="1124"/>
      <c r="Q32" s="1130"/>
      <c r="R32" s="1122"/>
      <c r="S32" s="1124"/>
      <c r="T32" s="1130">
        <v>0</v>
      </c>
      <c r="U32" s="1122">
        <v>1</v>
      </c>
      <c r="V32" s="1124"/>
      <c r="W32" s="1130"/>
      <c r="X32" s="1122"/>
      <c r="Y32" s="1124"/>
      <c r="Z32" s="1130"/>
      <c r="AA32" s="1122"/>
      <c r="AB32" s="1124"/>
      <c r="AC32" s="1130"/>
      <c r="AD32" s="1122"/>
      <c r="AE32" s="1124">
        <f t="shared" si="13"/>
        <v>0.5</v>
      </c>
      <c r="AF32" s="1130"/>
      <c r="AG32" s="1122">
        <v>0.5</v>
      </c>
      <c r="AH32" s="1124">
        <f t="shared" si="15"/>
        <v>54</v>
      </c>
      <c r="AI32" s="1130">
        <v>0</v>
      </c>
      <c r="AJ32" s="1122">
        <v>50</v>
      </c>
      <c r="AK32" s="1124">
        <f t="shared" si="17"/>
        <v>203</v>
      </c>
      <c r="AL32" s="1130">
        <v>0</v>
      </c>
      <c r="AM32" s="1122">
        <v>200</v>
      </c>
      <c r="AN32" s="1124">
        <f t="shared" si="18"/>
        <v>4</v>
      </c>
      <c r="AO32" s="1130">
        <v>0</v>
      </c>
      <c r="AP32" s="1122">
        <v>10</v>
      </c>
      <c r="AQ32" s="1124">
        <f t="shared" si="20"/>
        <v>203</v>
      </c>
      <c r="AR32" s="1130"/>
      <c r="AS32" s="1122">
        <v>120</v>
      </c>
      <c r="AT32" s="1124">
        <f t="shared" si="21"/>
        <v>27</v>
      </c>
      <c r="AU32" s="1130"/>
      <c r="AV32" s="1122">
        <v>30</v>
      </c>
      <c r="AW32" s="1124">
        <f t="shared" si="5"/>
        <v>5</v>
      </c>
      <c r="AX32" s="1130"/>
      <c r="AY32" s="1122">
        <v>5</v>
      </c>
      <c r="AZ32" s="1124">
        <f t="shared" si="22"/>
        <v>41</v>
      </c>
      <c r="BA32" s="1130"/>
      <c r="BB32" s="1122">
        <v>100</v>
      </c>
      <c r="BC32" s="1136">
        <f t="shared" si="23"/>
        <v>2.4</v>
      </c>
      <c r="BD32" s="1130"/>
      <c r="BE32" s="1130"/>
      <c r="BF32" s="1131">
        <f t="shared" si="24"/>
        <v>5</v>
      </c>
      <c r="BG32" s="1130"/>
      <c r="BH32" s="1122">
        <v>5</v>
      </c>
      <c r="BI32" s="1124"/>
      <c r="BJ32" s="1130"/>
      <c r="BK32" s="1122"/>
      <c r="BL32" s="1124"/>
      <c r="BM32" s="1130">
        <v>0</v>
      </c>
      <c r="BN32" s="1122">
        <v>1</v>
      </c>
      <c r="BO32" s="1124">
        <f t="shared" si="34"/>
        <v>1</v>
      </c>
      <c r="BP32" s="1130">
        <v>1</v>
      </c>
      <c r="BQ32" s="1122"/>
      <c r="BR32" s="1124"/>
      <c r="BS32" s="1130"/>
      <c r="BT32" s="1122">
        <v>1</v>
      </c>
      <c r="BU32" s="1124">
        <f t="shared" si="25"/>
        <v>4</v>
      </c>
      <c r="BV32" s="1130"/>
      <c r="BW32" s="1122">
        <v>5</v>
      </c>
      <c r="BX32" s="1126">
        <f t="shared" si="26"/>
        <v>0.2</v>
      </c>
      <c r="BY32" s="1108">
        <v>0.7</v>
      </c>
      <c r="BZ32" s="1122">
        <f t="shared" si="27"/>
        <v>0</v>
      </c>
      <c r="CA32" s="227"/>
      <c r="CB32" s="227"/>
      <c r="CC32" s="227"/>
      <c r="CD32" s="227"/>
      <c r="CE32" s="227"/>
      <c r="CF32" s="227"/>
      <c r="CG32" s="227"/>
      <c r="CH32" s="227"/>
      <c r="CI32" s="227"/>
      <c r="CJ32" s="227"/>
      <c r="CK32" s="227"/>
      <c r="CL32" s="227"/>
      <c r="CM32" s="227"/>
      <c r="CN32" s="227"/>
      <c r="CO32" s="227"/>
      <c r="CP32" s="227"/>
      <c r="CQ32" s="227"/>
      <c r="CR32" s="227"/>
      <c r="CS32" s="227"/>
      <c r="CT32" s="227"/>
      <c r="CU32" s="227"/>
    </row>
    <row r="33" spans="1:103" ht="15.75">
      <c r="A33" s="995">
        <v>18</v>
      </c>
      <c r="B33" s="996" t="s">
        <v>702</v>
      </c>
      <c r="C33" s="1117">
        <f>'проект числ-сть'!M32</f>
        <v>191</v>
      </c>
      <c r="D33" s="1121">
        <f t="shared" si="11"/>
        <v>19</v>
      </c>
      <c r="E33" s="1100"/>
      <c r="F33" s="1122">
        <v>20</v>
      </c>
      <c r="G33" s="1121">
        <f t="shared" si="12"/>
        <v>34</v>
      </c>
      <c r="H33" s="1100">
        <v>290</v>
      </c>
      <c r="I33" s="1122"/>
      <c r="J33" s="1124"/>
      <c r="K33" s="1100"/>
      <c r="L33" s="1122"/>
      <c r="M33" s="1124"/>
      <c r="N33" s="1100"/>
      <c r="O33" s="1122"/>
      <c r="P33" s="1124"/>
      <c r="Q33" s="1100"/>
      <c r="R33" s="1122"/>
      <c r="S33" s="1124"/>
      <c r="T33" s="1100">
        <v>0</v>
      </c>
      <c r="U33" s="1122">
        <v>1</v>
      </c>
      <c r="V33" s="1124"/>
      <c r="W33" s="1100"/>
      <c r="X33" s="1122"/>
      <c r="Y33" s="1124"/>
      <c r="Z33" s="1100"/>
      <c r="AA33" s="1122"/>
      <c r="AB33" s="1124"/>
      <c r="AC33" s="1100"/>
      <c r="AD33" s="1122">
        <v>1</v>
      </c>
      <c r="AE33" s="1124">
        <f t="shared" si="13"/>
        <v>0.1</v>
      </c>
      <c r="AF33" s="1100"/>
      <c r="AG33" s="1122">
        <f t="shared" si="14"/>
        <v>0.1</v>
      </c>
      <c r="AH33" s="1124">
        <f t="shared" si="15"/>
        <v>15</v>
      </c>
      <c r="AI33" s="1100">
        <v>162</v>
      </c>
      <c r="AJ33" s="1122">
        <f t="shared" si="16"/>
        <v>0</v>
      </c>
      <c r="AK33" s="1124">
        <f t="shared" si="17"/>
        <v>57</v>
      </c>
      <c r="AL33" s="1100">
        <v>0</v>
      </c>
      <c r="AM33" s="1122">
        <v>50</v>
      </c>
      <c r="AN33" s="1124">
        <f t="shared" si="18"/>
        <v>1</v>
      </c>
      <c r="AO33" s="1100">
        <v>0</v>
      </c>
      <c r="AP33" s="1122">
        <f t="shared" si="19"/>
        <v>1</v>
      </c>
      <c r="AQ33" s="1124">
        <f t="shared" si="20"/>
        <v>57</v>
      </c>
      <c r="AR33" s="1105"/>
      <c r="AS33" s="1122"/>
      <c r="AT33" s="1124">
        <f t="shared" si="21"/>
        <v>8</v>
      </c>
      <c r="AU33" s="1100"/>
      <c r="AV33" s="1122"/>
      <c r="AW33" s="1124">
        <f t="shared" si="5"/>
        <v>1</v>
      </c>
      <c r="AX33" s="1100"/>
      <c r="AY33" s="1122"/>
      <c r="AZ33" s="1124">
        <f t="shared" si="22"/>
        <v>11</v>
      </c>
      <c r="BA33" s="1100"/>
      <c r="BB33" s="1122"/>
      <c r="BC33" s="1136">
        <f t="shared" si="23"/>
        <v>0.7</v>
      </c>
      <c r="BD33" s="1130"/>
      <c r="BE33" s="1130"/>
      <c r="BF33" s="1131">
        <f t="shared" si="24"/>
        <v>1</v>
      </c>
      <c r="BG33" s="1100"/>
      <c r="BH33" s="1122"/>
      <c r="BI33" s="1124"/>
      <c r="BJ33" s="1100">
        <v>1</v>
      </c>
      <c r="BK33" s="1122"/>
      <c r="BL33" s="1124"/>
      <c r="BM33" s="1100">
        <v>1</v>
      </c>
      <c r="BN33" s="1122"/>
      <c r="BO33" s="1124">
        <f t="shared" si="34"/>
        <v>0</v>
      </c>
      <c r="BP33" s="1100"/>
      <c r="BQ33" s="1122"/>
      <c r="BR33" s="1124"/>
      <c r="BS33" s="1100"/>
      <c r="BT33" s="1122"/>
      <c r="BU33" s="1124">
        <f t="shared" si="25"/>
        <v>1</v>
      </c>
      <c r="BV33" s="1100"/>
      <c r="BW33" s="1122"/>
      <c r="BX33" s="1126">
        <f t="shared" si="26"/>
        <v>0</v>
      </c>
      <c r="BY33" s="1108">
        <v>0.7</v>
      </c>
      <c r="BZ33" s="1122">
        <f t="shared" si="27"/>
        <v>0</v>
      </c>
      <c r="CV33" s="30"/>
      <c r="CW33" s="30"/>
      <c r="CX33" s="30"/>
      <c r="CY33" s="30"/>
    </row>
    <row r="34" spans="1:103" ht="15.75">
      <c r="A34" s="995">
        <v>19</v>
      </c>
      <c r="B34" s="996" t="s">
        <v>703</v>
      </c>
      <c r="C34" s="1117">
        <f>'проект числ-сть'!M33</f>
        <v>41</v>
      </c>
      <c r="D34" s="1121">
        <f t="shared" si="11"/>
        <v>4</v>
      </c>
      <c r="E34" s="1100"/>
      <c r="F34" s="1122"/>
      <c r="G34" s="1121">
        <f t="shared" si="12"/>
        <v>7</v>
      </c>
      <c r="H34" s="1100"/>
      <c r="I34" s="1122"/>
      <c r="J34" s="1124"/>
      <c r="K34" s="1100"/>
      <c r="L34" s="1122"/>
      <c r="M34" s="1124"/>
      <c r="N34" s="1100"/>
      <c r="O34" s="1122"/>
      <c r="P34" s="1124"/>
      <c r="Q34" s="1100"/>
      <c r="R34" s="1122"/>
      <c r="S34" s="1124"/>
      <c r="T34" s="1100"/>
      <c r="U34" s="1122"/>
      <c r="V34" s="1124"/>
      <c r="W34" s="1100"/>
      <c r="X34" s="1122"/>
      <c r="Y34" s="1124"/>
      <c r="Z34" s="1100"/>
      <c r="AA34" s="1122"/>
      <c r="AB34" s="1124"/>
      <c r="AC34" s="1100"/>
      <c r="AD34" s="1122">
        <v>1</v>
      </c>
      <c r="AE34" s="1124">
        <f t="shared" si="13"/>
        <v>0</v>
      </c>
      <c r="AF34" s="1100"/>
      <c r="AG34" s="1122">
        <f t="shared" si="14"/>
        <v>0</v>
      </c>
      <c r="AH34" s="1124">
        <f t="shared" si="15"/>
        <v>3</v>
      </c>
      <c r="AI34" s="1100"/>
      <c r="AJ34" s="1122">
        <f t="shared" si="16"/>
        <v>3</v>
      </c>
      <c r="AK34" s="1124">
        <f t="shared" si="17"/>
        <v>12</v>
      </c>
      <c r="AL34" s="1100"/>
      <c r="AM34" s="1122"/>
      <c r="AN34" s="1124">
        <f t="shared" si="18"/>
        <v>0</v>
      </c>
      <c r="AO34" s="1100"/>
      <c r="AP34" s="1122">
        <f t="shared" si="19"/>
        <v>0</v>
      </c>
      <c r="AQ34" s="1124">
        <f t="shared" si="20"/>
        <v>12</v>
      </c>
      <c r="AR34" s="1105"/>
      <c r="AS34" s="1122"/>
      <c r="AT34" s="1124">
        <f t="shared" si="21"/>
        <v>2</v>
      </c>
      <c r="AU34" s="1100"/>
      <c r="AV34" s="1122"/>
      <c r="AW34" s="1124">
        <f t="shared" si="5"/>
        <v>0</v>
      </c>
      <c r="AX34" s="1100"/>
      <c r="AY34" s="1122"/>
      <c r="AZ34" s="1124">
        <f t="shared" si="22"/>
        <v>2</v>
      </c>
      <c r="BA34" s="1100"/>
      <c r="BB34" s="1122"/>
      <c r="BC34" s="1136">
        <f t="shared" si="23"/>
        <v>0.1</v>
      </c>
      <c r="BD34" s="1130"/>
      <c r="BE34" s="1130"/>
      <c r="BF34" s="1131">
        <f t="shared" si="24"/>
        <v>0</v>
      </c>
      <c r="BG34" s="1100"/>
      <c r="BH34" s="1122"/>
      <c r="BI34" s="1124"/>
      <c r="BJ34" s="1100"/>
      <c r="BK34" s="1122"/>
      <c r="BL34" s="1124"/>
      <c r="BM34" s="1100"/>
      <c r="BN34" s="1122"/>
      <c r="BO34" s="1124">
        <f t="shared" si="34"/>
        <v>0</v>
      </c>
      <c r="BP34" s="1100"/>
      <c r="BQ34" s="1122"/>
      <c r="BR34" s="1124"/>
      <c r="BS34" s="1100"/>
      <c r="BT34" s="1122"/>
      <c r="BU34" s="1124">
        <f t="shared" si="25"/>
        <v>0</v>
      </c>
      <c r="BV34" s="1100"/>
      <c r="BW34" s="1122"/>
      <c r="BX34" s="1126">
        <f t="shared" si="26"/>
        <v>0</v>
      </c>
      <c r="BY34" s="1108">
        <v>0.6</v>
      </c>
      <c r="BZ34" s="1122">
        <f t="shared" si="27"/>
        <v>0</v>
      </c>
      <c r="CV34" s="30"/>
      <c r="CW34" s="30"/>
      <c r="CX34" s="30"/>
      <c r="CY34" s="30"/>
    </row>
    <row r="35" spans="1:103" s="576" customFormat="1" ht="15.75">
      <c r="A35" s="993"/>
      <c r="B35" s="994" t="s">
        <v>277</v>
      </c>
      <c r="C35" s="1116">
        <f>'проект числ-сть'!M34</f>
        <v>524</v>
      </c>
      <c r="D35" s="1119">
        <f>D36+D37+D38+D39+D40</f>
        <v>53</v>
      </c>
      <c r="E35" s="992">
        <f t="shared" ref="E35:F35" si="61">E36+E37+E38+E39+E40</f>
        <v>0</v>
      </c>
      <c r="F35" s="1120">
        <f t="shared" si="61"/>
        <v>40</v>
      </c>
      <c r="G35" s="1119">
        <f t="shared" ref="G35:BS35" si="62">G36+G37+G38+G39+G40</f>
        <v>94</v>
      </c>
      <c r="H35" s="992">
        <f t="shared" si="62"/>
        <v>120</v>
      </c>
      <c r="I35" s="1120">
        <f t="shared" si="62"/>
        <v>0</v>
      </c>
      <c r="J35" s="1119">
        <f t="shared" si="62"/>
        <v>0</v>
      </c>
      <c r="K35" s="992">
        <f t="shared" si="62"/>
        <v>0</v>
      </c>
      <c r="L35" s="1120">
        <f t="shared" si="62"/>
        <v>0</v>
      </c>
      <c r="M35" s="1119">
        <f t="shared" si="62"/>
        <v>0</v>
      </c>
      <c r="N35" s="992">
        <f t="shared" si="62"/>
        <v>0</v>
      </c>
      <c r="O35" s="1120">
        <f t="shared" si="62"/>
        <v>0</v>
      </c>
      <c r="P35" s="1119">
        <f t="shared" si="62"/>
        <v>0</v>
      </c>
      <c r="Q35" s="992">
        <f t="shared" si="62"/>
        <v>0</v>
      </c>
      <c r="R35" s="1120">
        <f t="shared" si="62"/>
        <v>0</v>
      </c>
      <c r="S35" s="1119">
        <f t="shared" si="62"/>
        <v>0</v>
      </c>
      <c r="T35" s="992">
        <f t="shared" si="62"/>
        <v>3</v>
      </c>
      <c r="U35" s="1120">
        <f t="shared" si="62"/>
        <v>1</v>
      </c>
      <c r="V35" s="1119">
        <f t="shared" si="62"/>
        <v>0</v>
      </c>
      <c r="W35" s="992">
        <f t="shared" si="62"/>
        <v>0</v>
      </c>
      <c r="X35" s="1120">
        <f t="shared" si="62"/>
        <v>0</v>
      </c>
      <c r="Y35" s="1119">
        <f t="shared" si="62"/>
        <v>0</v>
      </c>
      <c r="Z35" s="992">
        <f t="shared" si="62"/>
        <v>0</v>
      </c>
      <c r="AA35" s="1120">
        <f t="shared" si="62"/>
        <v>0</v>
      </c>
      <c r="AB35" s="1119">
        <f t="shared" si="62"/>
        <v>0</v>
      </c>
      <c r="AC35" s="992">
        <f t="shared" si="62"/>
        <v>0</v>
      </c>
      <c r="AD35" s="1120">
        <f t="shared" si="62"/>
        <v>4</v>
      </c>
      <c r="AE35" s="1119">
        <f t="shared" si="62"/>
        <v>0.30000000000000004</v>
      </c>
      <c r="AF35" s="992" t="s">
        <v>890</v>
      </c>
      <c r="AG35" s="1120">
        <f t="shared" si="62"/>
        <v>0.30000000000000004</v>
      </c>
      <c r="AH35" s="1119">
        <f t="shared" si="62"/>
        <v>42</v>
      </c>
      <c r="AI35" s="992">
        <f t="shared" si="62"/>
        <v>162</v>
      </c>
      <c r="AJ35" s="1120">
        <f t="shared" si="62"/>
        <v>14</v>
      </c>
      <c r="AK35" s="1119">
        <f t="shared" si="62"/>
        <v>158</v>
      </c>
      <c r="AL35" s="992">
        <f t="shared" si="62"/>
        <v>80</v>
      </c>
      <c r="AM35" s="1120">
        <f t="shared" si="62"/>
        <v>80</v>
      </c>
      <c r="AN35" s="1119">
        <f t="shared" si="62"/>
        <v>3</v>
      </c>
      <c r="AO35" s="992" t="s">
        <v>890</v>
      </c>
      <c r="AP35" s="1120" t="s">
        <v>890</v>
      </c>
      <c r="AQ35" s="1119">
        <f t="shared" si="62"/>
        <v>158</v>
      </c>
      <c r="AR35" s="992" t="s">
        <v>890</v>
      </c>
      <c r="AS35" s="1120">
        <f t="shared" ref="AS35" si="63">AS36+AS37+AS38+AS39+AS40</f>
        <v>0</v>
      </c>
      <c r="AT35" s="1119">
        <f t="shared" si="62"/>
        <v>21</v>
      </c>
      <c r="AU35" s="992">
        <f t="shared" si="62"/>
        <v>0</v>
      </c>
      <c r="AV35" s="1120">
        <f t="shared" si="62"/>
        <v>25</v>
      </c>
      <c r="AW35" s="1119">
        <f t="shared" si="62"/>
        <v>3</v>
      </c>
      <c r="AX35" s="992">
        <f t="shared" si="62"/>
        <v>0</v>
      </c>
      <c r="AY35" s="1120">
        <f t="shared" si="62"/>
        <v>3</v>
      </c>
      <c r="AZ35" s="1119">
        <f t="shared" si="62"/>
        <v>31</v>
      </c>
      <c r="BA35" s="992">
        <f t="shared" si="62"/>
        <v>0</v>
      </c>
      <c r="BB35" s="1120">
        <f t="shared" si="62"/>
        <v>45</v>
      </c>
      <c r="BC35" s="1135">
        <f t="shared" si="62"/>
        <v>1.8</v>
      </c>
      <c r="BD35" s="992">
        <f t="shared" si="62"/>
        <v>0</v>
      </c>
      <c r="BE35" s="992">
        <f t="shared" si="62"/>
        <v>0</v>
      </c>
      <c r="BF35" s="1137">
        <f t="shared" si="62"/>
        <v>3</v>
      </c>
      <c r="BG35" s="992">
        <f t="shared" si="62"/>
        <v>0</v>
      </c>
      <c r="BH35" s="1120">
        <f t="shared" si="62"/>
        <v>5</v>
      </c>
      <c r="BI35" s="1119">
        <f t="shared" si="62"/>
        <v>0</v>
      </c>
      <c r="BJ35" s="992">
        <f t="shared" si="62"/>
        <v>2</v>
      </c>
      <c r="BK35" s="1120">
        <f t="shared" si="62"/>
        <v>0</v>
      </c>
      <c r="BL35" s="1119">
        <f t="shared" si="62"/>
        <v>0</v>
      </c>
      <c r="BM35" s="992">
        <f t="shared" si="62"/>
        <v>0</v>
      </c>
      <c r="BN35" s="1120">
        <f t="shared" si="62"/>
        <v>0</v>
      </c>
      <c r="BO35" s="992">
        <f t="shared" si="62"/>
        <v>0</v>
      </c>
      <c r="BP35" s="992">
        <f t="shared" si="62"/>
        <v>0</v>
      </c>
      <c r="BQ35" s="1120">
        <f t="shared" si="62"/>
        <v>0</v>
      </c>
      <c r="BR35" s="1119">
        <f t="shared" si="62"/>
        <v>0</v>
      </c>
      <c r="BS35" s="992">
        <f t="shared" si="62"/>
        <v>0</v>
      </c>
      <c r="BT35" s="1120">
        <f t="shared" ref="BT35" si="64">BT36+BT37+BT38+BT39+BT40</f>
        <v>1</v>
      </c>
      <c r="BU35" s="1119">
        <f t="shared" ref="BU35:BZ35" si="65">BU36+BU37+BU38+BU39+BU40</f>
        <v>3</v>
      </c>
      <c r="BV35" s="992">
        <f t="shared" si="65"/>
        <v>0</v>
      </c>
      <c r="BW35" s="1120">
        <f t="shared" si="65"/>
        <v>3</v>
      </c>
      <c r="BX35" s="1125">
        <f t="shared" si="65"/>
        <v>0.1</v>
      </c>
      <c r="BY35" s="1107">
        <f t="shared" si="65"/>
        <v>7.5</v>
      </c>
      <c r="BZ35" s="1120">
        <f t="shared" si="65"/>
        <v>0</v>
      </c>
      <c r="CA35" s="227"/>
      <c r="CB35" s="227"/>
      <c r="CC35" s="227"/>
      <c r="CD35" s="227"/>
      <c r="CE35" s="227"/>
      <c r="CF35" s="227"/>
      <c r="CG35" s="227"/>
      <c r="CH35" s="227"/>
      <c r="CI35" s="227"/>
      <c r="CJ35" s="227"/>
      <c r="CK35" s="227"/>
      <c r="CL35" s="227"/>
      <c r="CM35" s="227"/>
      <c r="CN35" s="227"/>
      <c r="CO35" s="227"/>
      <c r="CP35" s="227"/>
      <c r="CQ35" s="227"/>
      <c r="CR35" s="227"/>
      <c r="CS35" s="227"/>
      <c r="CT35" s="227"/>
      <c r="CU35" s="227"/>
    </row>
    <row r="36" spans="1:103" ht="15.75">
      <c r="A36" s="995">
        <v>20</v>
      </c>
      <c r="B36" s="996" t="s">
        <v>622</v>
      </c>
      <c r="C36" s="1117">
        <f>'проект числ-сть'!M35</f>
        <v>355</v>
      </c>
      <c r="D36" s="1121">
        <f t="shared" si="11"/>
        <v>36</v>
      </c>
      <c r="E36" s="1100"/>
      <c r="F36" s="1122">
        <v>40</v>
      </c>
      <c r="G36" s="1121">
        <f t="shared" si="12"/>
        <v>64</v>
      </c>
      <c r="H36" s="1100">
        <v>120</v>
      </c>
      <c r="I36" s="1122"/>
      <c r="J36" s="1124"/>
      <c r="K36" s="1100"/>
      <c r="L36" s="1122"/>
      <c r="M36" s="1124"/>
      <c r="N36" s="1100"/>
      <c r="O36" s="1122"/>
      <c r="P36" s="1124"/>
      <c r="Q36" s="1100"/>
      <c r="R36" s="1122"/>
      <c r="S36" s="1124"/>
      <c r="T36" s="1100">
        <v>1</v>
      </c>
      <c r="U36" s="1122"/>
      <c r="V36" s="1124"/>
      <c r="W36" s="1100"/>
      <c r="X36" s="1122"/>
      <c r="Y36" s="1124"/>
      <c r="Z36" s="1100"/>
      <c r="AA36" s="1122"/>
      <c r="AB36" s="1124"/>
      <c r="AC36" s="1100"/>
      <c r="AD36" s="1122">
        <v>1</v>
      </c>
      <c r="AE36" s="1124">
        <f t="shared" si="13"/>
        <v>0.2</v>
      </c>
      <c r="AF36" s="1100"/>
      <c r="AG36" s="1122">
        <f t="shared" si="14"/>
        <v>0.2</v>
      </c>
      <c r="AH36" s="1124">
        <f t="shared" si="15"/>
        <v>28</v>
      </c>
      <c r="AI36" s="1100">
        <v>162</v>
      </c>
      <c r="AJ36" s="1122">
        <f t="shared" si="16"/>
        <v>0</v>
      </c>
      <c r="AK36" s="1124">
        <f t="shared" si="17"/>
        <v>107</v>
      </c>
      <c r="AL36" s="1100">
        <v>80</v>
      </c>
      <c r="AM36" s="1122">
        <v>50</v>
      </c>
      <c r="AN36" s="1124">
        <f t="shared" si="18"/>
        <v>2</v>
      </c>
      <c r="AO36" s="1100" t="s">
        <v>890</v>
      </c>
      <c r="AP36" s="1122" t="s">
        <v>890</v>
      </c>
      <c r="AQ36" s="1124">
        <f t="shared" si="20"/>
        <v>107</v>
      </c>
      <c r="AR36" s="1105"/>
      <c r="AS36" s="1122"/>
      <c r="AT36" s="1124">
        <f t="shared" si="21"/>
        <v>14</v>
      </c>
      <c r="AU36" s="1100"/>
      <c r="AV36" s="1122">
        <v>25</v>
      </c>
      <c r="AW36" s="1124">
        <f t="shared" si="5"/>
        <v>2</v>
      </c>
      <c r="AX36" s="1100"/>
      <c r="AY36" s="1122">
        <v>3</v>
      </c>
      <c r="AZ36" s="1124">
        <f t="shared" si="22"/>
        <v>21</v>
      </c>
      <c r="BA36" s="1100"/>
      <c r="BB36" s="1122">
        <v>45</v>
      </c>
      <c r="BC36" s="1136">
        <f t="shared" si="23"/>
        <v>1.2</v>
      </c>
      <c r="BD36" s="1130"/>
      <c r="BE36" s="1130"/>
      <c r="BF36" s="1131">
        <f t="shared" si="24"/>
        <v>2</v>
      </c>
      <c r="BG36" s="1100"/>
      <c r="BH36" s="1122">
        <v>5</v>
      </c>
      <c r="BI36" s="1124"/>
      <c r="BJ36" s="1100">
        <v>1</v>
      </c>
      <c r="BK36" s="1122"/>
      <c r="BL36" s="1124"/>
      <c r="BM36" s="1100"/>
      <c r="BN36" s="1122"/>
      <c r="BO36" s="1124">
        <f t="shared" si="34"/>
        <v>0</v>
      </c>
      <c r="BP36" s="1100"/>
      <c r="BQ36" s="1122"/>
      <c r="BR36" s="1124"/>
      <c r="BS36" s="1100">
        <v>0</v>
      </c>
      <c r="BT36" s="1122">
        <v>1</v>
      </c>
      <c r="BU36" s="1124">
        <f t="shared" si="25"/>
        <v>2</v>
      </c>
      <c r="BV36" s="1100"/>
      <c r="BW36" s="1122">
        <v>3</v>
      </c>
      <c r="BX36" s="1126">
        <f t="shared" si="26"/>
        <v>0.1</v>
      </c>
      <c r="BY36" s="1108">
        <v>7.5</v>
      </c>
      <c r="BZ36" s="1122">
        <f t="shared" si="27"/>
        <v>0</v>
      </c>
      <c r="CV36" s="30"/>
      <c r="CW36" s="30"/>
      <c r="CX36" s="30"/>
      <c r="CY36" s="30"/>
    </row>
    <row r="37" spans="1:103" ht="15.75">
      <c r="A37" s="995">
        <v>21</v>
      </c>
      <c r="B37" s="996" t="s">
        <v>704</v>
      </c>
      <c r="C37" s="1117">
        <f>'проект числ-сть'!M36</f>
        <v>34</v>
      </c>
      <c r="D37" s="1121">
        <f t="shared" si="11"/>
        <v>3</v>
      </c>
      <c r="E37" s="1100"/>
      <c r="F37" s="1122"/>
      <c r="G37" s="1121">
        <f t="shared" si="12"/>
        <v>6</v>
      </c>
      <c r="H37" s="1100"/>
      <c r="I37" s="1122"/>
      <c r="J37" s="1124"/>
      <c r="K37" s="1100"/>
      <c r="L37" s="1122"/>
      <c r="M37" s="1124"/>
      <c r="N37" s="1100"/>
      <c r="O37" s="1122"/>
      <c r="P37" s="1124"/>
      <c r="Q37" s="1100"/>
      <c r="R37" s="1122"/>
      <c r="S37" s="1124"/>
      <c r="T37" s="1100">
        <v>1</v>
      </c>
      <c r="U37" s="1122"/>
      <c r="V37" s="1124"/>
      <c r="W37" s="1100"/>
      <c r="X37" s="1122"/>
      <c r="Y37" s="1124"/>
      <c r="Z37" s="1100"/>
      <c r="AA37" s="1122"/>
      <c r="AB37" s="1124"/>
      <c r="AC37" s="1100"/>
      <c r="AD37" s="1122">
        <v>1</v>
      </c>
      <c r="AE37" s="1124">
        <f t="shared" si="13"/>
        <v>0</v>
      </c>
      <c r="AF37" s="1100"/>
      <c r="AG37" s="1122">
        <f t="shared" si="14"/>
        <v>0</v>
      </c>
      <c r="AH37" s="1124">
        <f t="shared" si="15"/>
        <v>3</v>
      </c>
      <c r="AI37" s="1100"/>
      <c r="AJ37" s="1122">
        <f t="shared" si="16"/>
        <v>3</v>
      </c>
      <c r="AK37" s="1124">
        <f t="shared" si="17"/>
        <v>10</v>
      </c>
      <c r="AL37" s="1100">
        <v>0</v>
      </c>
      <c r="AM37" s="1122"/>
      <c r="AN37" s="1124">
        <f t="shared" si="18"/>
        <v>0</v>
      </c>
      <c r="AO37" s="1100">
        <v>0</v>
      </c>
      <c r="AP37" s="1122">
        <f t="shared" si="19"/>
        <v>0</v>
      </c>
      <c r="AQ37" s="1124">
        <f t="shared" si="20"/>
        <v>10</v>
      </c>
      <c r="AR37" s="1105"/>
      <c r="AS37" s="1122"/>
      <c r="AT37" s="1124">
        <f t="shared" si="21"/>
        <v>1</v>
      </c>
      <c r="AU37" s="1100"/>
      <c r="AV37" s="1122"/>
      <c r="AW37" s="1124">
        <f t="shared" si="5"/>
        <v>0</v>
      </c>
      <c r="AX37" s="1100"/>
      <c r="AY37" s="1122"/>
      <c r="AZ37" s="1124">
        <f t="shared" si="22"/>
        <v>2</v>
      </c>
      <c r="BA37" s="1100"/>
      <c r="BB37" s="1122"/>
      <c r="BC37" s="1136">
        <f t="shared" si="23"/>
        <v>0.1</v>
      </c>
      <c r="BD37" s="1130"/>
      <c r="BE37" s="1130"/>
      <c r="BF37" s="1131">
        <f t="shared" si="24"/>
        <v>0</v>
      </c>
      <c r="BG37" s="1100"/>
      <c r="BH37" s="1122"/>
      <c r="BI37" s="1124"/>
      <c r="BJ37" s="1100">
        <v>1</v>
      </c>
      <c r="BK37" s="1122"/>
      <c r="BL37" s="1124"/>
      <c r="BM37" s="1100"/>
      <c r="BN37" s="1122"/>
      <c r="BO37" s="1124">
        <f t="shared" si="34"/>
        <v>0</v>
      </c>
      <c r="BP37" s="1100"/>
      <c r="BQ37" s="1122"/>
      <c r="BR37" s="1124"/>
      <c r="BS37" s="1100"/>
      <c r="BT37" s="1122"/>
      <c r="BU37" s="1124">
        <f t="shared" si="25"/>
        <v>0</v>
      </c>
      <c r="BV37" s="1100"/>
      <c r="BW37" s="1122"/>
      <c r="BX37" s="1126">
        <f t="shared" si="26"/>
        <v>0</v>
      </c>
      <c r="BY37" s="1108"/>
      <c r="BZ37" s="1122">
        <f t="shared" si="27"/>
        <v>0</v>
      </c>
      <c r="CV37" s="30"/>
      <c r="CW37" s="30"/>
      <c r="CX37" s="30"/>
      <c r="CY37" s="30"/>
    </row>
    <row r="38" spans="1:103" ht="15.75">
      <c r="A38" s="995">
        <v>22</v>
      </c>
      <c r="B38" s="996" t="s">
        <v>705</v>
      </c>
      <c r="C38" s="1117">
        <f>'проект числ-сть'!M37</f>
        <v>45</v>
      </c>
      <c r="D38" s="1121">
        <f t="shared" si="11"/>
        <v>5</v>
      </c>
      <c r="E38" s="1100"/>
      <c r="F38" s="1122"/>
      <c r="G38" s="1121">
        <f t="shared" si="12"/>
        <v>8</v>
      </c>
      <c r="H38" s="1100"/>
      <c r="I38" s="1122"/>
      <c r="J38" s="1124"/>
      <c r="K38" s="1100"/>
      <c r="L38" s="1122"/>
      <c r="M38" s="1124"/>
      <c r="N38" s="1100"/>
      <c r="O38" s="1122"/>
      <c r="P38" s="1124"/>
      <c r="Q38" s="1100"/>
      <c r="R38" s="1122"/>
      <c r="S38" s="1124"/>
      <c r="T38" s="1100">
        <v>1</v>
      </c>
      <c r="U38" s="1122"/>
      <c r="V38" s="1124"/>
      <c r="W38" s="1100"/>
      <c r="X38" s="1122"/>
      <c r="Y38" s="1124"/>
      <c r="Z38" s="1100"/>
      <c r="AA38" s="1122"/>
      <c r="AB38" s="1124"/>
      <c r="AC38" s="1100"/>
      <c r="AD38" s="1122">
        <v>1</v>
      </c>
      <c r="AE38" s="1124">
        <f t="shared" si="13"/>
        <v>0</v>
      </c>
      <c r="AF38" s="1100"/>
      <c r="AG38" s="1122">
        <f t="shared" si="14"/>
        <v>0</v>
      </c>
      <c r="AH38" s="1124">
        <f t="shared" si="15"/>
        <v>4</v>
      </c>
      <c r="AI38" s="1100"/>
      <c r="AJ38" s="1122">
        <f t="shared" si="16"/>
        <v>4</v>
      </c>
      <c r="AK38" s="1124">
        <f t="shared" si="17"/>
        <v>14</v>
      </c>
      <c r="AL38" s="1100"/>
      <c r="AM38" s="1122"/>
      <c r="AN38" s="1124">
        <f t="shared" si="18"/>
        <v>0</v>
      </c>
      <c r="AO38" s="1100" t="s">
        <v>890</v>
      </c>
      <c r="AP38" s="1122" t="s">
        <v>890</v>
      </c>
      <c r="AQ38" s="1124">
        <f t="shared" si="20"/>
        <v>14</v>
      </c>
      <c r="AR38" s="1105"/>
      <c r="AS38" s="1122"/>
      <c r="AT38" s="1124">
        <f t="shared" si="21"/>
        <v>2</v>
      </c>
      <c r="AU38" s="1100"/>
      <c r="AV38" s="1122"/>
      <c r="AW38" s="1124">
        <f t="shared" si="5"/>
        <v>0</v>
      </c>
      <c r="AX38" s="1100"/>
      <c r="AY38" s="1122"/>
      <c r="AZ38" s="1124">
        <f t="shared" si="22"/>
        <v>3</v>
      </c>
      <c r="BA38" s="1100"/>
      <c r="BB38" s="1122"/>
      <c r="BC38" s="1136">
        <f t="shared" si="23"/>
        <v>0.2</v>
      </c>
      <c r="BD38" s="1130"/>
      <c r="BE38" s="1130"/>
      <c r="BF38" s="1131">
        <f t="shared" si="24"/>
        <v>0</v>
      </c>
      <c r="BG38" s="1100"/>
      <c r="BH38" s="1122"/>
      <c r="BI38" s="1124"/>
      <c r="BJ38" s="1100"/>
      <c r="BK38" s="1122"/>
      <c r="BL38" s="1124"/>
      <c r="BM38" s="1100"/>
      <c r="BN38" s="1122"/>
      <c r="BO38" s="1124">
        <f t="shared" si="34"/>
        <v>0</v>
      </c>
      <c r="BP38" s="1100"/>
      <c r="BQ38" s="1122"/>
      <c r="BR38" s="1124"/>
      <c r="BS38" s="1100"/>
      <c r="BT38" s="1122"/>
      <c r="BU38" s="1124">
        <f t="shared" si="25"/>
        <v>0</v>
      </c>
      <c r="BV38" s="1100"/>
      <c r="BW38" s="1122"/>
      <c r="BX38" s="1126">
        <f t="shared" si="26"/>
        <v>0</v>
      </c>
      <c r="BY38" s="1108"/>
      <c r="BZ38" s="1122">
        <f t="shared" si="27"/>
        <v>0</v>
      </c>
      <c r="CV38" s="30"/>
      <c r="CW38" s="30"/>
      <c r="CX38" s="30"/>
      <c r="CY38" s="30"/>
    </row>
    <row r="39" spans="1:103" s="576" customFormat="1" ht="15.75">
      <c r="A39" s="995">
        <v>23</v>
      </c>
      <c r="B39" s="996" t="s">
        <v>706</v>
      </c>
      <c r="C39" s="1117">
        <f>'проект числ-сть'!M38</f>
        <v>0</v>
      </c>
      <c r="D39" s="1121">
        <f t="shared" si="11"/>
        <v>0</v>
      </c>
      <c r="E39" s="1100"/>
      <c r="F39" s="1122"/>
      <c r="G39" s="1121">
        <f t="shared" si="12"/>
        <v>0</v>
      </c>
      <c r="H39" s="1100"/>
      <c r="I39" s="1122"/>
      <c r="J39" s="1124"/>
      <c r="K39" s="1100"/>
      <c r="L39" s="1122"/>
      <c r="M39" s="1124"/>
      <c r="N39" s="1100"/>
      <c r="O39" s="1122"/>
      <c r="P39" s="1124"/>
      <c r="Q39" s="1100"/>
      <c r="R39" s="1122"/>
      <c r="S39" s="1124"/>
      <c r="T39" s="1100"/>
      <c r="U39" s="1122"/>
      <c r="V39" s="1124"/>
      <c r="W39" s="1100"/>
      <c r="X39" s="1122"/>
      <c r="Y39" s="1124"/>
      <c r="Z39" s="1100"/>
      <c r="AA39" s="1122"/>
      <c r="AB39" s="1124"/>
      <c r="AC39" s="1100"/>
      <c r="AD39" s="1122"/>
      <c r="AE39" s="1124">
        <f t="shared" si="13"/>
        <v>0</v>
      </c>
      <c r="AF39" s="1100"/>
      <c r="AG39" s="1122">
        <f t="shared" si="14"/>
        <v>0</v>
      </c>
      <c r="AH39" s="1124">
        <f t="shared" si="15"/>
        <v>0</v>
      </c>
      <c r="AI39" s="1100"/>
      <c r="AJ39" s="1122">
        <f t="shared" si="16"/>
        <v>0</v>
      </c>
      <c r="AK39" s="1124">
        <f t="shared" si="17"/>
        <v>0</v>
      </c>
      <c r="AL39" s="1100"/>
      <c r="AM39" s="1122"/>
      <c r="AN39" s="1124">
        <f t="shared" si="18"/>
        <v>0</v>
      </c>
      <c r="AO39" s="1100"/>
      <c r="AP39" s="1122">
        <f t="shared" si="19"/>
        <v>0</v>
      </c>
      <c r="AQ39" s="1124">
        <f t="shared" si="20"/>
        <v>0</v>
      </c>
      <c r="AR39" s="1105"/>
      <c r="AS39" s="1122"/>
      <c r="AT39" s="1124">
        <f t="shared" si="21"/>
        <v>0</v>
      </c>
      <c r="AU39" s="1100"/>
      <c r="AV39" s="1122"/>
      <c r="AW39" s="1124">
        <f t="shared" si="5"/>
        <v>0</v>
      </c>
      <c r="AX39" s="1100"/>
      <c r="AY39" s="1122"/>
      <c r="AZ39" s="1124">
        <f t="shared" si="22"/>
        <v>0</v>
      </c>
      <c r="BA39" s="1100"/>
      <c r="BB39" s="1122"/>
      <c r="BC39" s="1136">
        <f t="shared" si="23"/>
        <v>0</v>
      </c>
      <c r="BD39" s="1130"/>
      <c r="BE39" s="1130"/>
      <c r="BF39" s="1131">
        <f t="shared" si="24"/>
        <v>0</v>
      </c>
      <c r="BG39" s="1100"/>
      <c r="BH39" s="1122"/>
      <c r="BI39" s="1124"/>
      <c r="BJ39" s="1100"/>
      <c r="BK39" s="1122"/>
      <c r="BL39" s="1124"/>
      <c r="BM39" s="1100"/>
      <c r="BN39" s="1122"/>
      <c r="BO39" s="1124">
        <f t="shared" si="34"/>
        <v>0</v>
      </c>
      <c r="BP39" s="1100"/>
      <c r="BQ39" s="1122"/>
      <c r="BR39" s="1124"/>
      <c r="BS39" s="1100"/>
      <c r="BT39" s="1122"/>
      <c r="BU39" s="1124">
        <f t="shared" si="25"/>
        <v>0</v>
      </c>
      <c r="BV39" s="1100"/>
      <c r="BW39" s="1122"/>
      <c r="BX39" s="1126">
        <f t="shared" si="26"/>
        <v>0</v>
      </c>
      <c r="BY39" s="1108"/>
      <c r="BZ39" s="1122">
        <f t="shared" si="27"/>
        <v>0</v>
      </c>
      <c r="CA39" s="227"/>
      <c r="CB39" s="227"/>
      <c r="CC39" s="227"/>
      <c r="CD39" s="227"/>
      <c r="CE39" s="227"/>
      <c r="CF39" s="227"/>
      <c r="CG39" s="227"/>
      <c r="CH39" s="227"/>
      <c r="CI39" s="227"/>
      <c r="CJ39" s="227"/>
      <c r="CK39" s="227"/>
      <c r="CL39" s="227"/>
      <c r="CM39" s="227"/>
      <c r="CN39" s="227"/>
      <c r="CO39" s="227"/>
      <c r="CP39" s="227"/>
      <c r="CQ39" s="227"/>
      <c r="CR39" s="227"/>
      <c r="CS39" s="227"/>
      <c r="CT39" s="227"/>
      <c r="CU39" s="227"/>
      <c r="CV39" s="30"/>
      <c r="CW39" s="30"/>
      <c r="CX39" s="30"/>
      <c r="CY39" s="30"/>
    </row>
    <row r="40" spans="1:103" ht="15.75">
      <c r="A40" s="995">
        <v>24</v>
      </c>
      <c r="B40" s="996" t="s">
        <v>707</v>
      </c>
      <c r="C40" s="1117">
        <f>'проект числ-сть'!M39</f>
        <v>90</v>
      </c>
      <c r="D40" s="1121">
        <f t="shared" si="11"/>
        <v>9</v>
      </c>
      <c r="E40" s="1100"/>
      <c r="F40" s="1122"/>
      <c r="G40" s="1121">
        <f t="shared" si="12"/>
        <v>16</v>
      </c>
      <c r="H40" s="1100"/>
      <c r="I40" s="1122"/>
      <c r="J40" s="1124"/>
      <c r="K40" s="1100"/>
      <c r="L40" s="1122"/>
      <c r="M40" s="1124"/>
      <c r="N40" s="1100"/>
      <c r="O40" s="1122"/>
      <c r="P40" s="1124"/>
      <c r="Q40" s="1100"/>
      <c r="R40" s="1122"/>
      <c r="S40" s="1124"/>
      <c r="T40" s="1100">
        <v>0</v>
      </c>
      <c r="U40" s="1122">
        <v>1</v>
      </c>
      <c r="V40" s="1124"/>
      <c r="W40" s="1100"/>
      <c r="X40" s="1122"/>
      <c r="Y40" s="1124"/>
      <c r="Z40" s="1100"/>
      <c r="AA40" s="1122"/>
      <c r="AB40" s="1124"/>
      <c r="AC40" s="1100"/>
      <c r="AD40" s="1122">
        <v>1</v>
      </c>
      <c r="AE40" s="1124">
        <f t="shared" si="13"/>
        <v>0.1</v>
      </c>
      <c r="AF40" s="1100"/>
      <c r="AG40" s="1122">
        <f t="shared" si="14"/>
        <v>0.1</v>
      </c>
      <c r="AH40" s="1124">
        <f t="shared" si="15"/>
        <v>7</v>
      </c>
      <c r="AI40" s="1100"/>
      <c r="AJ40" s="1122">
        <f t="shared" si="16"/>
        <v>7</v>
      </c>
      <c r="AK40" s="1124">
        <f t="shared" si="17"/>
        <v>27</v>
      </c>
      <c r="AL40" s="1100"/>
      <c r="AM40" s="1122">
        <v>30</v>
      </c>
      <c r="AN40" s="1124">
        <f t="shared" si="18"/>
        <v>1</v>
      </c>
      <c r="AO40" s="1100">
        <v>0</v>
      </c>
      <c r="AP40" s="1122">
        <f t="shared" si="19"/>
        <v>1</v>
      </c>
      <c r="AQ40" s="1124">
        <f t="shared" si="20"/>
        <v>27</v>
      </c>
      <c r="AR40" s="1105"/>
      <c r="AS40" s="1122"/>
      <c r="AT40" s="1124">
        <f t="shared" si="21"/>
        <v>4</v>
      </c>
      <c r="AU40" s="1100"/>
      <c r="AV40" s="1122"/>
      <c r="AW40" s="1124">
        <f t="shared" si="5"/>
        <v>1</v>
      </c>
      <c r="AX40" s="1100"/>
      <c r="AY40" s="1122"/>
      <c r="AZ40" s="1124">
        <f t="shared" si="22"/>
        <v>5</v>
      </c>
      <c r="BA40" s="1100"/>
      <c r="BB40" s="1122"/>
      <c r="BC40" s="1136">
        <f t="shared" si="23"/>
        <v>0.3</v>
      </c>
      <c r="BD40" s="1130"/>
      <c r="BE40" s="1130"/>
      <c r="BF40" s="1131">
        <f t="shared" si="24"/>
        <v>1</v>
      </c>
      <c r="BG40" s="1100"/>
      <c r="BH40" s="1122"/>
      <c r="BI40" s="1124"/>
      <c r="BJ40" s="1100"/>
      <c r="BK40" s="1122"/>
      <c r="BL40" s="1124"/>
      <c r="BM40" s="1100"/>
      <c r="BN40" s="1122"/>
      <c r="BO40" s="1124">
        <f t="shared" si="34"/>
        <v>0</v>
      </c>
      <c r="BP40" s="1100"/>
      <c r="BQ40" s="1122"/>
      <c r="BR40" s="1124"/>
      <c r="BS40" s="1100"/>
      <c r="BT40" s="1122"/>
      <c r="BU40" s="1124">
        <f t="shared" si="25"/>
        <v>1</v>
      </c>
      <c r="BV40" s="1100"/>
      <c r="BW40" s="1122"/>
      <c r="BX40" s="1126">
        <f t="shared" si="26"/>
        <v>0</v>
      </c>
      <c r="BY40" s="1108"/>
      <c r="BZ40" s="1122">
        <f t="shared" si="27"/>
        <v>0</v>
      </c>
      <c r="CV40" s="30"/>
      <c r="CW40" s="30"/>
      <c r="CX40" s="30"/>
      <c r="CY40" s="30"/>
    </row>
    <row r="41" spans="1:103" s="576" customFormat="1" ht="15.75">
      <c r="A41" s="993"/>
      <c r="B41" s="994" t="s">
        <v>283</v>
      </c>
      <c r="C41" s="1116">
        <f>'проект числ-сть'!M40</f>
        <v>723</v>
      </c>
      <c r="D41" s="1119">
        <f>D42+D43+D44+D45</f>
        <v>72</v>
      </c>
      <c r="E41" s="992">
        <f t="shared" ref="E41:F41" si="66">E42+E43+E44+E45</f>
        <v>0</v>
      </c>
      <c r="F41" s="1120">
        <f t="shared" si="66"/>
        <v>70</v>
      </c>
      <c r="G41" s="1119">
        <f t="shared" ref="G41:BS41" si="67">G42+G43+G44+G45</f>
        <v>131</v>
      </c>
      <c r="H41" s="992">
        <f t="shared" si="67"/>
        <v>130</v>
      </c>
      <c r="I41" s="1120">
        <f t="shared" si="67"/>
        <v>0</v>
      </c>
      <c r="J41" s="1119">
        <f t="shared" si="67"/>
        <v>0</v>
      </c>
      <c r="K41" s="992">
        <f t="shared" si="67"/>
        <v>0</v>
      </c>
      <c r="L41" s="1120">
        <f t="shared" si="67"/>
        <v>0</v>
      </c>
      <c r="M41" s="1119">
        <f t="shared" si="67"/>
        <v>0</v>
      </c>
      <c r="N41" s="992">
        <f t="shared" si="67"/>
        <v>0</v>
      </c>
      <c r="O41" s="1120">
        <f t="shared" si="67"/>
        <v>0</v>
      </c>
      <c r="P41" s="1119">
        <f t="shared" si="67"/>
        <v>0</v>
      </c>
      <c r="Q41" s="992">
        <f t="shared" si="67"/>
        <v>0</v>
      </c>
      <c r="R41" s="1120">
        <f t="shared" si="67"/>
        <v>0</v>
      </c>
      <c r="S41" s="1119">
        <f t="shared" si="67"/>
        <v>0</v>
      </c>
      <c r="T41" s="992">
        <f t="shared" si="67"/>
        <v>2</v>
      </c>
      <c r="U41" s="1120">
        <f t="shared" si="67"/>
        <v>0</v>
      </c>
      <c r="V41" s="1119">
        <f t="shared" si="67"/>
        <v>0</v>
      </c>
      <c r="W41" s="992">
        <f t="shared" si="67"/>
        <v>0</v>
      </c>
      <c r="X41" s="1120">
        <f t="shared" si="67"/>
        <v>26</v>
      </c>
      <c r="Y41" s="1119">
        <f t="shared" si="67"/>
        <v>0</v>
      </c>
      <c r="Z41" s="992">
        <f t="shared" si="67"/>
        <v>0</v>
      </c>
      <c r="AA41" s="1120">
        <f t="shared" si="67"/>
        <v>0</v>
      </c>
      <c r="AB41" s="1119">
        <f t="shared" si="67"/>
        <v>0</v>
      </c>
      <c r="AC41" s="992">
        <f t="shared" si="67"/>
        <v>0</v>
      </c>
      <c r="AD41" s="1120">
        <f t="shared" si="67"/>
        <v>2</v>
      </c>
      <c r="AE41" s="1119">
        <f t="shared" si="67"/>
        <v>0.4</v>
      </c>
      <c r="AF41" s="992" t="s">
        <v>890</v>
      </c>
      <c r="AG41" s="1120">
        <f t="shared" si="67"/>
        <v>0.4</v>
      </c>
      <c r="AH41" s="1119">
        <f t="shared" si="67"/>
        <v>58</v>
      </c>
      <c r="AI41" s="992">
        <f t="shared" si="67"/>
        <v>0</v>
      </c>
      <c r="AJ41" s="1120">
        <f t="shared" si="67"/>
        <v>58</v>
      </c>
      <c r="AK41" s="1119">
        <f t="shared" si="67"/>
        <v>217</v>
      </c>
      <c r="AL41" s="992">
        <f t="shared" si="67"/>
        <v>300</v>
      </c>
      <c r="AM41" s="1120">
        <f t="shared" si="67"/>
        <v>60</v>
      </c>
      <c r="AN41" s="1119">
        <f t="shared" si="67"/>
        <v>4</v>
      </c>
      <c r="AO41" s="992">
        <f t="shared" si="67"/>
        <v>12</v>
      </c>
      <c r="AP41" s="1120">
        <f t="shared" si="67"/>
        <v>1</v>
      </c>
      <c r="AQ41" s="1119">
        <f t="shared" si="67"/>
        <v>217</v>
      </c>
      <c r="AR41" s="992" t="s">
        <v>890</v>
      </c>
      <c r="AS41" s="1120">
        <f t="shared" ref="AS41" si="68">AS42+AS43+AS44+AS45</f>
        <v>13</v>
      </c>
      <c r="AT41" s="1119">
        <f t="shared" si="67"/>
        <v>29</v>
      </c>
      <c r="AU41" s="992">
        <f t="shared" si="67"/>
        <v>0</v>
      </c>
      <c r="AV41" s="1120">
        <f t="shared" si="67"/>
        <v>30</v>
      </c>
      <c r="AW41" s="1119">
        <f t="shared" si="67"/>
        <v>4</v>
      </c>
      <c r="AX41" s="992">
        <f t="shared" si="67"/>
        <v>0</v>
      </c>
      <c r="AY41" s="1120">
        <f t="shared" si="67"/>
        <v>3</v>
      </c>
      <c r="AZ41" s="1119">
        <f t="shared" si="67"/>
        <v>44</v>
      </c>
      <c r="BA41" s="992">
        <f t="shared" si="67"/>
        <v>0</v>
      </c>
      <c r="BB41" s="1120">
        <f t="shared" si="67"/>
        <v>0</v>
      </c>
      <c r="BC41" s="1135">
        <f t="shared" si="67"/>
        <v>2.6</v>
      </c>
      <c r="BD41" s="992">
        <f t="shared" si="67"/>
        <v>0</v>
      </c>
      <c r="BE41" s="992">
        <f t="shared" si="67"/>
        <v>0</v>
      </c>
      <c r="BF41" s="1137">
        <f t="shared" si="67"/>
        <v>4</v>
      </c>
      <c r="BG41" s="992">
        <f t="shared" si="67"/>
        <v>0</v>
      </c>
      <c r="BH41" s="1120">
        <f t="shared" si="67"/>
        <v>6</v>
      </c>
      <c r="BI41" s="1119">
        <f t="shared" si="67"/>
        <v>0</v>
      </c>
      <c r="BJ41" s="992">
        <f t="shared" si="67"/>
        <v>0</v>
      </c>
      <c r="BK41" s="1120">
        <f t="shared" si="67"/>
        <v>1</v>
      </c>
      <c r="BL41" s="1119">
        <f t="shared" si="67"/>
        <v>0</v>
      </c>
      <c r="BM41" s="992">
        <f t="shared" si="67"/>
        <v>0</v>
      </c>
      <c r="BN41" s="1120">
        <f t="shared" si="67"/>
        <v>0</v>
      </c>
      <c r="BO41" s="992">
        <f t="shared" si="67"/>
        <v>0</v>
      </c>
      <c r="BP41" s="992">
        <f t="shared" si="67"/>
        <v>1</v>
      </c>
      <c r="BQ41" s="1120">
        <f t="shared" si="67"/>
        <v>0</v>
      </c>
      <c r="BR41" s="1119">
        <f t="shared" si="67"/>
        <v>0</v>
      </c>
      <c r="BS41" s="992">
        <f t="shared" si="67"/>
        <v>0</v>
      </c>
      <c r="BT41" s="1120">
        <f t="shared" ref="BT41" si="69">BT42+BT43+BT44+BT45</f>
        <v>1</v>
      </c>
      <c r="BU41" s="1119">
        <f t="shared" ref="BU41:BZ41" si="70">BU42+BU43+BU44+BU45</f>
        <v>4</v>
      </c>
      <c r="BV41" s="992">
        <f t="shared" si="70"/>
        <v>0</v>
      </c>
      <c r="BW41" s="1120">
        <f t="shared" si="70"/>
        <v>4</v>
      </c>
      <c r="BX41" s="1125">
        <f t="shared" si="70"/>
        <v>0.1</v>
      </c>
      <c r="BY41" s="1107">
        <f t="shared" si="70"/>
        <v>10</v>
      </c>
      <c r="BZ41" s="1120">
        <f t="shared" si="70"/>
        <v>0</v>
      </c>
      <c r="CA41" s="227"/>
      <c r="CB41" s="227"/>
      <c r="CC41" s="227"/>
      <c r="CD41" s="227"/>
      <c r="CE41" s="227"/>
      <c r="CF41" s="227"/>
      <c r="CG41" s="227"/>
      <c r="CH41" s="227"/>
      <c r="CI41" s="227"/>
      <c r="CJ41" s="227"/>
      <c r="CK41" s="227"/>
      <c r="CL41" s="227"/>
      <c r="CM41" s="227"/>
      <c r="CN41" s="227"/>
      <c r="CO41" s="227"/>
      <c r="CP41" s="227"/>
      <c r="CQ41" s="227"/>
      <c r="CR41" s="227"/>
      <c r="CS41" s="227"/>
      <c r="CT41" s="227"/>
      <c r="CU41" s="227"/>
    </row>
    <row r="42" spans="1:103" s="576" customFormat="1" ht="15.75">
      <c r="A42" s="995">
        <v>25</v>
      </c>
      <c r="B42" s="996" t="s">
        <v>607</v>
      </c>
      <c r="C42" s="1117">
        <f>'проект числ-сть'!M41</f>
        <v>475</v>
      </c>
      <c r="D42" s="1121">
        <f t="shared" si="11"/>
        <v>48</v>
      </c>
      <c r="E42" s="1100"/>
      <c r="F42" s="1122">
        <v>50</v>
      </c>
      <c r="G42" s="1121">
        <f t="shared" si="12"/>
        <v>86</v>
      </c>
      <c r="H42" s="1100">
        <v>130</v>
      </c>
      <c r="I42" s="1122"/>
      <c r="J42" s="1124"/>
      <c r="K42" s="1100"/>
      <c r="L42" s="1122"/>
      <c r="M42" s="1124"/>
      <c r="N42" s="1100"/>
      <c r="O42" s="1122"/>
      <c r="P42" s="1124"/>
      <c r="Q42" s="1100"/>
      <c r="R42" s="1122"/>
      <c r="S42" s="1124"/>
      <c r="T42" s="1100">
        <v>1</v>
      </c>
      <c r="U42" s="1122"/>
      <c r="V42" s="1124"/>
      <c r="W42" s="1100"/>
      <c r="X42" s="1122">
        <v>26</v>
      </c>
      <c r="Y42" s="1124"/>
      <c r="Z42" s="1100"/>
      <c r="AA42" s="1122"/>
      <c r="AB42" s="1124"/>
      <c r="AC42" s="1100"/>
      <c r="AD42" s="1122">
        <v>1</v>
      </c>
      <c r="AE42" s="1124">
        <f t="shared" si="13"/>
        <v>0.3</v>
      </c>
      <c r="AF42" s="1100"/>
      <c r="AG42" s="1122">
        <f t="shared" si="14"/>
        <v>0.3</v>
      </c>
      <c r="AH42" s="1124">
        <f t="shared" si="15"/>
        <v>38</v>
      </c>
      <c r="AI42" s="1100"/>
      <c r="AJ42" s="1122">
        <f t="shared" si="16"/>
        <v>38</v>
      </c>
      <c r="AK42" s="1124">
        <f t="shared" si="17"/>
        <v>143</v>
      </c>
      <c r="AL42" s="1100">
        <v>300</v>
      </c>
      <c r="AM42" s="1122"/>
      <c r="AN42" s="1124">
        <f t="shared" si="18"/>
        <v>3</v>
      </c>
      <c r="AO42" s="1100">
        <v>12</v>
      </c>
      <c r="AP42" s="1122">
        <f t="shared" si="19"/>
        <v>0</v>
      </c>
      <c r="AQ42" s="1124">
        <f t="shared" si="20"/>
        <v>143</v>
      </c>
      <c r="AR42" s="1105"/>
      <c r="AS42" s="1122"/>
      <c r="AT42" s="1124">
        <f t="shared" si="21"/>
        <v>19</v>
      </c>
      <c r="AU42" s="1100"/>
      <c r="AV42" s="1122">
        <v>30</v>
      </c>
      <c r="AW42" s="1124">
        <f t="shared" si="5"/>
        <v>3</v>
      </c>
      <c r="AX42" s="1100"/>
      <c r="AY42" s="1122">
        <v>3</v>
      </c>
      <c r="AZ42" s="1124">
        <f t="shared" si="22"/>
        <v>29</v>
      </c>
      <c r="BA42" s="1100"/>
      <c r="BB42" s="1122"/>
      <c r="BC42" s="1136">
        <f t="shared" si="23"/>
        <v>1.7</v>
      </c>
      <c r="BD42" s="1130"/>
      <c r="BE42" s="1130"/>
      <c r="BF42" s="1131">
        <f t="shared" si="24"/>
        <v>3</v>
      </c>
      <c r="BG42" s="1100"/>
      <c r="BH42" s="1122">
        <v>6</v>
      </c>
      <c r="BI42" s="1124"/>
      <c r="BJ42" s="1100">
        <v>0</v>
      </c>
      <c r="BK42" s="1122">
        <v>1</v>
      </c>
      <c r="BL42" s="1124"/>
      <c r="BM42" s="1100"/>
      <c r="BN42" s="1122"/>
      <c r="BO42" s="1124">
        <f t="shared" si="34"/>
        <v>0</v>
      </c>
      <c r="BP42" s="1100">
        <v>1</v>
      </c>
      <c r="BQ42" s="1122"/>
      <c r="BR42" s="1124"/>
      <c r="BS42" s="1100">
        <v>0</v>
      </c>
      <c r="BT42" s="1122">
        <v>1</v>
      </c>
      <c r="BU42" s="1124">
        <f t="shared" si="25"/>
        <v>3</v>
      </c>
      <c r="BV42" s="1100"/>
      <c r="BW42" s="1122">
        <v>4</v>
      </c>
      <c r="BX42" s="1126">
        <f t="shared" si="26"/>
        <v>0.1</v>
      </c>
      <c r="BY42" s="1108">
        <v>10</v>
      </c>
      <c r="BZ42" s="1122">
        <f t="shared" si="27"/>
        <v>0</v>
      </c>
      <c r="CA42" s="227"/>
      <c r="CB42" s="227"/>
      <c r="CC42" s="227"/>
      <c r="CD42" s="227"/>
      <c r="CE42" s="227"/>
      <c r="CF42" s="227"/>
      <c r="CG42" s="227"/>
      <c r="CH42" s="227"/>
      <c r="CI42" s="227"/>
      <c r="CJ42" s="227"/>
      <c r="CK42" s="227"/>
      <c r="CL42" s="227"/>
      <c r="CM42" s="227"/>
      <c r="CN42" s="227"/>
      <c r="CO42" s="227"/>
      <c r="CP42" s="227"/>
      <c r="CQ42" s="227"/>
      <c r="CR42" s="227"/>
      <c r="CS42" s="227"/>
      <c r="CT42" s="227"/>
      <c r="CU42" s="227"/>
      <c r="CV42" s="30"/>
      <c r="CW42" s="30"/>
      <c r="CX42" s="30"/>
      <c r="CY42" s="30"/>
    </row>
    <row r="43" spans="1:103" ht="15.75">
      <c r="A43" s="995">
        <v>26</v>
      </c>
      <c r="B43" s="996" t="s">
        <v>708</v>
      </c>
      <c r="C43" s="1117">
        <f>'проект числ-сть'!M42</f>
        <v>204</v>
      </c>
      <c r="D43" s="1121">
        <f t="shared" si="11"/>
        <v>20</v>
      </c>
      <c r="E43" s="1100"/>
      <c r="F43" s="1122">
        <v>20</v>
      </c>
      <c r="G43" s="1121">
        <f t="shared" si="12"/>
        <v>37</v>
      </c>
      <c r="H43" s="1100">
        <v>0</v>
      </c>
      <c r="I43" s="1122"/>
      <c r="J43" s="1124"/>
      <c r="K43" s="1100"/>
      <c r="L43" s="1122"/>
      <c r="M43" s="1124"/>
      <c r="N43" s="1100"/>
      <c r="O43" s="1122"/>
      <c r="P43" s="1124"/>
      <c r="Q43" s="1100"/>
      <c r="R43" s="1122"/>
      <c r="S43" s="1124"/>
      <c r="T43" s="1100">
        <v>1</v>
      </c>
      <c r="U43" s="1122"/>
      <c r="V43" s="1124"/>
      <c r="W43" s="1100"/>
      <c r="X43" s="1122"/>
      <c r="Y43" s="1124"/>
      <c r="Z43" s="1100"/>
      <c r="AA43" s="1122"/>
      <c r="AB43" s="1124"/>
      <c r="AC43" s="1100"/>
      <c r="AD43" s="1122">
        <v>1</v>
      </c>
      <c r="AE43" s="1124">
        <f t="shared" si="13"/>
        <v>0.1</v>
      </c>
      <c r="AF43" s="1100"/>
      <c r="AG43" s="1122">
        <f t="shared" si="14"/>
        <v>0.1</v>
      </c>
      <c r="AH43" s="1124">
        <f t="shared" si="15"/>
        <v>16</v>
      </c>
      <c r="AI43" s="1100">
        <v>0</v>
      </c>
      <c r="AJ43" s="1122">
        <f t="shared" si="16"/>
        <v>16</v>
      </c>
      <c r="AK43" s="1124">
        <f t="shared" si="17"/>
        <v>61</v>
      </c>
      <c r="AL43" s="1100"/>
      <c r="AM43" s="1122">
        <v>60</v>
      </c>
      <c r="AN43" s="1124">
        <f t="shared" si="18"/>
        <v>1</v>
      </c>
      <c r="AO43" s="1100"/>
      <c r="AP43" s="1122">
        <f t="shared" si="19"/>
        <v>1</v>
      </c>
      <c r="AQ43" s="1124">
        <f t="shared" si="20"/>
        <v>61</v>
      </c>
      <c r="AR43" s="1105"/>
      <c r="AS43" s="1122"/>
      <c r="AT43" s="1124">
        <f t="shared" si="21"/>
        <v>8</v>
      </c>
      <c r="AU43" s="1100"/>
      <c r="AV43" s="1122"/>
      <c r="AW43" s="1124">
        <f t="shared" si="5"/>
        <v>1</v>
      </c>
      <c r="AX43" s="1100"/>
      <c r="AY43" s="1122"/>
      <c r="AZ43" s="1124">
        <f t="shared" si="22"/>
        <v>12</v>
      </c>
      <c r="BA43" s="1100"/>
      <c r="BB43" s="1122"/>
      <c r="BC43" s="1136">
        <f t="shared" si="23"/>
        <v>0.7</v>
      </c>
      <c r="BD43" s="1130"/>
      <c r="BE43" s="1130"/>
      <c r="BF43" s="1131">
        <f t="shared" si="24"/>
        <v>1</v>
      </c>
      <c r="BG43" s="1100"/>
      <c r="BH43" s="1122"/>
      <c r="BI43" s="1124"/>
      <c r="BJ43" s="1100"/>
      <c r="BK43" s="1122"/>
      <c r="BL43" s="1124"/>
      <c r="BM43" s="1100"/>
      <c r="BN43" s="1122"/>
      <c r="BO43" s="1124">
        <f t="shared" si="34"/>
        <v>0</v>
      </c>
      <c r="BP43" s="1100"/>
      <c r="BQ43" s="1122"/>
      <c r="BR43" s="1124"/>
      <c r="BS43" s="1100"/>
      <c r="BT43" s="1122"/>
      <c r="BU43" s="1124">
        <f t="shared" si="25"/>
        <v>1</v>
      </c>
      <c r="BV43" s="1100"/>
      <c r="BW43" s="1122"/>
      <c r="BX43" s="1126">
        <f t="shared" si="26"/>
        <v>0</v>
      </c>
      <c r="BY43" s="1108"/>
      <c r="BZ43" s="1122">
        <f t="shared" si="27"/>
        <v>0</v>
      </c>
      <c r="CV43" s="30"/>
      <c r="CW43" s="30"/>
      <c r="CX43" s="30"/>
      <c r="CY43" s="30"/>
    </row>
    <row r="44" spans="1:103" ht="15.75">
      <c r="A44" s="995">
        <v>27</v>
      </c>
      <c r="B44" s="996" t="s">
        <v>709</v>
      </c>
      <c r="C44" s="1117">
        <f>'проект числ-сть'!M43</f>
        <v>44</v>
      </c>
      <c r="D44" s="1121">
        <f t="shared" si="11"/>
        <v>4</v>
      </c>
      <c r="E44" s="1100"/>
      <c r="F44" s="1122"/>
      <c r="G44" s="1121">
        <f t="shared" si="12"/>
        <v>8</v>
      </c>
      <c r="H44" s="1100"/>
      <c r="I44" s="1122"/>
      <c r="J44" s="1124"/>
      <c r="K44" s="1100"/>
      <c r="L44" s="1122"/>
      <c r="M44" s="1124"/>
      <c r="N44" s="1100"/>
      <c r="O44" s="1122"/>
      <c r="P44" s="1124"/>
      <c r="Q44" s="1100"/>
      <c r="R44" s="1122"/>
      <c r="S44" s="1124"/>
      <c r="T44" s="1100"/>
      <c r="U44" s="1122"/>
      <c r="V44" s="1124"/>
      <c r="W44" s="1100"/>
      <c r="X44" s="1122"/>
      <c r="Y44" s="1124"/>
      <c r="Z44" s="1100"/>
      <c r="AA44" s="1122"/>
      <c r="AB44" s="1124"/>
      <c r="AC44" s="1100"/>
      <c r="AD44" s="1122"/>
      <c r="AE44" s="1124">
        <f t="shared" si="13"/>
        <v>0</v>
      </c>
      <c r="AF44" s="1100"/>
      <c r="AG44" s="1122">
        <f t="shared" si="14"/>
        <v>0</v>
      </c>
      <c r="AH44" s="1124">
        <f t="shared" si="15"/>
        <v>4</v>
      </c>
      <c r="AI44" s="1100"/>
      <c r="AJ44" s="1122">
        <f t="shared" si="16"/>
        <v>4</v>
      </c>
      <c r="AK44" s="1124">
        <f t="shared" si="17"/>
        <v>13</v>
      </c>
      <c r="AL44" s="1100">
        <v>0</v>
      </c>
      <c r="AM44" s="1122"/>
      <c r="AN44" s="1124">
        <f t="shared" si="18"/>
        <v>0</v>
      </c>
      <c r="AO44" s="1100"/>
      <c r="AP44" s="1122">
        <f t="shared" si="19"/>
        <v>0</v>
      </c>
      <c r="AQ44" s="1124">
        <f t="shared" si="20"/>
        <v>13</v>
      </c>
      <c r="AR44" s="1105"/>
      <c r="AS44" s="1122">
        <v>13</v>
      </c>
      <c r="AT44" s="1124">
        <f t="shared" si="21"/>
        <v>2</v>
      </c>
      <c r="AU44" s="1100"/>
      <c r="AV44" s="1122"/>
      <c r="AW44" s="1124">
        <f t="shared" si="5"/>
        <v>0</v>
      </c>
      <c r="AX44" s="1100"/>
      <c r="AY44" s="1122"/>
      <c r="AZ44" s="1124">
        <f t="shared" si="22"/>
        <v>3</v>
      </c>
      <c r="BA44" s="1100"/>
      <c r="BB44" s="1122"/>
      <c r="BC44" s="1136">
        <f t="shared" si="23"/>
        <v>0.2</v>
      </c>
      <c r="BD44" s="1130"/>
      <c r="BE44" s="1130"/>
      <c r="BF44" s="1131">
        <f t="shared" si="24"/>
        <v>0</v>
      </c>
      <c r="BG44" s="1100"/>
      <c r="BH44" s="1122"/>
      <c r="BI44" s="1124"/>
      <c r="BJ44" s="1100"/>
      <c r="BK44" s="1122"/>
      <c r="BL44" s="1124"/>
      <c r="BM44" s="1100"/>
      <c r="BN44" s="1122"/>
      <c r="BO44" s="1124">
        <f t="shared" si="34"/>
        <v>0</v>
      </c>
      <c r="BP44" s="1100"/>
      <c r="BQ44" s="1122"/>
      <c r="BR44" s="1124"/>
      <c r="BS44" s="1100"/>
      <c r="BT44" s="1122"/>
      <c r="BU44" s="1124">
        <f t="shared" si="25"/>
        <v>0</v>
      </c>
      <c r="BV44" s="1100"/>
      <c r="BW44" s="1122"/>
      <c r="BX44" s="1126">
        <f t="shared" si="26"/>
        <v>0</v>
      </c>
      <c r="BY44" s="1108"/>
      <c r="BZ44" s="1122">
        <f t="shared" si="27"/>
        <v>0</v>
      </c>
      <c r="CV44" s="30"/>
      <c r="CW44" s="30"/>
      <c r="CX44" s="30"/>
      <c r="CY44" s="30"/>
    </row>
    <row r="45" spans="1:103" s="576" customFormat="1" ht="15.75">
      <c r="A45" s="995">
        <v>28</v>
      </c>
      <c r="B45" s="996" t="s">
        <v>710</v>
      </c>
      <c r="C45" s="1117">
        <f>'проект числ-сть'!M44</f>
        <v>0</v>
      </c>
      <c r="D45" s="1121">
        <f t="shared" si="11"/>
        <v>0</v>
      </c>
      <c r="E45" s="1100"/>
      <c r="F45" s="1122"/>
      <c r="G45" s="1121">
        <f t="shared" si="12"/>
        <v>0</v>
      </c>
      <c r="H45" s="1100"/>
      <c r="I45" s="1122"/>
      <c r="J45" s="1124"/>
      <c r="K45" s="1100"/>
      <c r="L45" s="1122"/>
      <c r="M45" s="1124"/>
      <c r="N45" s="1100"/>
      <c r="O45" s="1122"/>
      <c r="P45" s="1124"/>
      <c r="Q45" s="1100"/>
      <c r="R45" s="1122"/>
      <c r="S45" s="1124"/>
      <c r="T45" s="1100"/>
      <c r="U45" s="1122"/>
      <c r="V45" s="1124"/>
      <c r="W45" s="1100"/>
      <c r="X45" s="1122"/>
      <c r="Y45" s="1124"/>
      <c r="Z45" s="1100"/>
      <c r="AA45" s="1122"/>
      <c r="AB45" s="1124"/>
      <c r="AC45" s="1100"/>
      <c r="AD45" s="1122"/>
      <c r="AE45" s="1124">
        <f t="shared" si="13"/>
        <v>0</v>
      </c>
      <c r="AF45" s="1100"/>
      <c r="AG45" s="1122">
        <f t="shared" si="14"/>
        <v>0</v>
      </c>
      <c r="AH45" s="1124">
        <f t="shared" si="15"/>
        <v>0</v>
      </c>
      <c r="AI45" s="1100"/>
      <c r="AJ45" s="1122">
        <f t="shared" si="16"/>
        <v>0</v>
      </c>
      <c r="AK45" s="1124">
        <f t="shared" si="17"/>
        <v>0</v>
      </c>
      <c r="AL45" s="1100"/>
      <c r="AM45" s="1122"/>
      <c r="AN45" s="1124">
        <f t="shared" si="18"/>
        <v>0</v>
      </c>
      <c r="AO45" s="1100"/>
      <c r="AP45" s="1122">
        <f t="shared" si="19"/>
        <v>0</v>
      </c>
      <c r="AQ45" s="1124">
        <f t="shared" si="20"/>
        <v>0</v>
      </c>
      <c r="AR45" s="1105"/>
      <c r="AS45" s="1122"/>
      <c r="AT45" s="1124">
        <f t="shared" si="21"/>
        <v>0</v>
      </c>
      <c r="AU45" s="1100"/>
      <c r="AV45" s="1122"/>
      <c r="AW45" s="1124">
        <f t="shared" si="5"/>
        <v>0</v>
      </c>
      <c r="AX45" s="1100"/>
      <c r="AY45" s="1122"/>
      <c r="AZ45" s="1124">
        <f t="shared" si="22"/>
        <v>0</v>
      </c>
      <c r="BA45" s="1100"/>
      <c r="BB45" s="1122"/>
      <c r="BC45" s="1136">
        <f t="shared" si="23"/>
        <v>0</v>
      </c>
      <c r="BD45" s="1130"/>
      <c r="BE45" s="1130"/>
      <c r="BF45" s="1131">
        <f t="shared" si="24"/>
        <v>0</v>
      </c>
      <c r="BG45" s="1100"/>
      <c r="BH45" s="1122"/>
      <c r="BI45" s="1124"/>
      <c r="BJ45" s="1100"/>
      <c r="BK45" s="1122"/>
      <c r="BL45" s="1124"/>
      <c r="BM45" s="1100"/>
      <c r="BN45" s="1122"/>
      <c r="BO45" s="1124">
        <f t="shared" si="34"/>
        <v>0</v>
      </c>
      <c r="BP45" s="1100"/>
      <c r="BQ45" s="1122"/>
      <c r="BR45" s="1124"/>
      <c r="BS45" s="1100"/>
      <c r="BT45" s="1122"/>
      <c r="BU45" s="1124">
        <f t="shared" si="25"/>
        <v>0</v>
      </c>
      <c r="BV45" s="1100"/>
      <c r="BW45" s="1122"/>
      <c r="BX45" s="1126">
        <f t="shared" si="26"/>
        <v>0</v>
      </c>
      <c r="BY45" s="1108"/>
      <c r="BZ45" s="1122">
        <f t="shared" si="27"/>
        <v>0</v>
      </c>
      <c r="CA45" s="227"/>
      <c r="CB45" s="227"/>
      <c r="CC45" s="227"/>
      <c r="CD45" s="227"/>
      <c r="CE45" s="227"/>
      <c r="CF45" s="227"/>
      <c r="CG45" s="227"/>
      <c r="CH45" s="227"/>
      <c r="CI45" s="227"/>
      <c r="CJ45" s="227"/>
      <c r="CK45" s="227"/>
      <c r="CL45" s="227"/>
      <c r="CM45" s="227"/>
      <c r="CN45" s="227"/>
      <c r="CO45" s="227"/>
      <c r="CP45" s="227"/>
      <c r="CQ45" s="227"/>
      <c r="CR45" s="227"/>
      <c r="CS45" s="227"/>
      <c r="CT45" s="227"/>
      <c r="CU45" s="227"/>
      <c r="CV45" s="30"/>
      <c r="CW45" s="30"/>
      <c r="CX45" s="30"/>
      <c r="CY45" s="30"/>
    </row>
    <row r="46" spans="1:103" s="576" customFormat="1" ht="15.75">
      <c r="A46" s="993"/>
      <c r="B46" s="994" t="s">
        <v>288</v>
      </c>
      <c r="C46" s="1116">
        <f>'проект числ-сть'!M45</f>
        <v>716</v>
      </c>
      <c r="D46" s="1119">
        <f>D47+D48+D49</f>
        <v>72</v>
      </c>
      <c r="E46" s="992">
        <f t="shared" ref="E46:F46" si="71">E47+E48+E49</f>
        <v>20</v>
      </c>
      <c r="F46" s="1120">
        <f t="shared" si="71"/>
        <v>55</v>
      </c>
      <c r="G46" s="1119">
        <f t="shared" ref="G46:BS46" si="72">G47+G48+G49</f>
        <v>129</v>
      </c>
      <c r="H46" s="992">
        <f t="shared" si="72"/>
        <v>324</v>
      </c>
      <c r="I46" s="1120">
        <f t="shared" si="72"/>
        <v>0</v>
      </c>
      <c r="J46" s="1119">
        <f t="shared" si="72"/>
        <v>0</v>
      </c>
      <c r="K46" s="992">
        <f t="shared" si="72"/>
        <v>0</v>
      </c>
      <c r="L46" s="1120">
        <f t="shared" si="72"/>
        <v>0</v>
      </c>
      <c r="M46" s="1119">
        <f t="shared" si="72"/>
        <v>0</v>
      </c>
      <c r="N46" s="992">
        <f t="shared" si="72"/>
        <v>50</v>
      </c>
      <c r="O46" s="1120">
        <f t="shared" si="72"/>
        <v>0</v>
      </c>
      <c r="P46" s="1119">
        <f t="shared" si="72"/>
        <v>0</v>
      </c>
      <c r="Q46" s="992">
        <f t="shared" si="72"/>
        <v>0</v>
      </c>
      <c r="R46" s="1120">
        <f t="shared" si="72"/>
        <v>0</v>
      </c>
      <c r="S46" s="1119">
        <f t="shared" si="72"/>
        <v>0</v>
      </c>
      <c r="T46" s="992">
        <f t="shared" si="72"/>
        <v>1</v>
      </c>
      <c r="U46" s="1120">
        <f t="shared" si="72"/>
        <v>0</v>
      </c>
      <c r="V46" s="1119">
        <f t="shared" si="72"/>
        <v>0</v>
      </c>
      <c r="W46" s="992">
        <f t="shared" si="72"/>
        <v>0</v>
      </c>
      <c r="X46" s="1120">
        <f t="shared" si="72"/>
        <v>0</v>
      </c>
      <c r="Y46" s="1119">
        <f t="shared" si="72"/>
        <v>0</v>
      </c>
      <c r="Z46" s="992">
        <f t="shared" si="72"/>
        <v>0</v>
      </c>
      <c r="AA46" s="1120">
        <f t="shared" si="72"/>
        <v>0</v>
      </c>
      <c r="AB46" s="1119">
        <f t="shared" si="72"/>
        <v>0</v>
      </c>
      <c r="AC46" s="992">
        <f t="shared" si="72"/>
        <v>1</v>
      </c>
      <c r="AD46" s="1120">
        <f t="shared" si="72"/>
        <v>1</v>
      </c>
      <c r="AE46" s="1119">
        <f t="shared" si="72"/>
        <v>0.5</v>
      </c>
      <c r="AF46" s="992" t="s">
        <v>890</v>
      </c>
      <c r="AG46" s="1120">
        <f t="shared" si="72"/>
        <v>0.5</v>
      </c>
      <c r="AH46" s="1119">
        <f t="shared" si="72"/>
        <v>57</v>
      </c>
      <c r="AI46" s="992">
        <f t="shared" si="72"/>
        <v>288</v>
      </c>
      <c r="AJ46" s="1120">
        <f t="shared" si="72"/>
        <v>12</v>
      </c>
      <c r="AK46" s="1119">
        <f t="shared" si="72"/>
        <v>215</v>
      </c>
      <c r="AL46" s="992">
        <f t="shared" si="72"/>
        <v>290</v>
      </c>
      <c r="AM46" s="1120">
        <f t="shared" si="72"/>
        <v>0</v>
      </c>
      <c r="AN46" s="1119">
        <f t="shared" si="72"/>
        <v>4</v>
      </c>
      <c r="AO46" s="992" t="s">
        <v>890</v>
      </c>
      <c r="AP46" s="1120" t="s">
        <v>890</v>
      </c>
      <c r="AQ46" s="1119">
        <f t="shared" si="72"/>
        <v>215</v>
      </c>
      <c r="AR46" s="992" t="s">
        <v>890</v>
      </c>
      <c r="AS46" s="1120">
        <f t="shared" ref="AS46" si="73">AS47+AS48+AS49</f>
        <v>12</v>
      </c>
      <c r="AT46" s="1119">
        <f t="shared" si="72"/>
        <v>29</v>
      </c>
      <c r="AU46" s="992">
        <f t="shared" si="72"/>
        <v>0</v>
      </c>
      <c r="AV46" s="1120">
        <f t="shared" si="72"/>
        <v>30</v>
      </c>
      <c r="AW46" s="1119">
        <f t="shared" si="72"/>
        <v>5</v>
      </c>
      <c r="AX46" s="992">
        <f t="shared" si="72"/>
        <v>0</v>
      </c>
      <c r="AY46" s="1120">
        <f t="shared" si="72"/>
        <v>5</v>
      </c>
      <c r="AZ46" s="1119">
        <f t="shared" si="72"/>
        <v>43</v>
      </c>
      <c r="BA46" s="992">
        <f t="shared" si="72"/>
        <v>0</v>
      </c>
      <c r="BB46" s="1120">
        <f t="shared" si="72"/>
        <v>0</v>
      </c>
      <c r="BC46" s="1135">
        <f t="shared" si="72"/>
        <v>2.5</v>
      </c>
      <c r="BD46" s="992">
        <f t="shared" si="72"/>
        <v>0</v>
      </c>
      <c r="BE46" s="992">
        <f t="shared" si="72"/>
        <v>0</v>
      </c>
      <c r="BF46" s="1137">
        <f t="shared" si="72"/>
        <v>5</v>
      </c>
      <c r="BG46" s="992">
        <f t="shared" si="72"/>
        <v>0</v>
      </c>
      <c r="BH46" s="1120">
        <f t="shared" si="72"/>
        <v>6</v>
      </c>
      <c r="BI46" s="1119">
        <f t="shared" si="72"/>
        <v>0</v>
      </c>
      <c r="BJ46" s="992">
        <f t="shared" si="72"/>
        <v>0</v>
      </c>
      <c r="BK46" s="1120">
        <f t="shared" si="72"/>
        <v>0</v>
      </c>
      <c r="BL46" s="1119">
        <f t="shared" si="72"/>
        <v>0</v>
      </c>
      <c r="BM46" s="992">
        <f t="shared" si="72"/>
        <v>1</v>
      </c>
      <c r="BN46" s="1120">
        <f t="shared" si="72"/>
        <v>0</v>
      </c>
      <c r="BO46" s="992">
        <f t="shared" si="72"/>
        <v>1</v>
      </c>
      <c r="BP46" s="992">
        <f t="shared" si="72"/>
        <v>1</v>
      </c>
      <c r="BQ46" s="1120">
        <f t="shared" si="72"/>
        <v>0</v>
      </c>
      <c r="BR46" s="1119">
        <f t="shared" si="72"/>
        <v>0</v>
      </c>
      <c r="BS46" s="992">
        <f t="shared" si="72"/>
        <v>0</v>
      </c>
      <c r="BT46" s="1120">
        <f t="shared" ref="BT46" si="74">BT47+BT48+BT49</f>
        <v>1</v>
      </c>
      <c r="BU46" s="1119">
        <f t="shared" ref="BU46:BZ46" si="75">BU47+BU48+BU49</f>
        <v>4</v>
      </c>
      <c r="BV46" s="992">
        <f t="shared" si="75"/>
        <v>0</v>
      </c>
      <c r="BW46" s="1120">
        <f t="shared" si="75"/>
        <v>4</v>
      </c>
      <c r="BX46" s="1125">
        <f t="shared" si="75"/>
        <v>0.1</v>
      </c>
      <c r="BY46" s="1107">
        <f t="shared" si="75"/>
        <v>5.66</v>
      </c>
      <c r="BZ46" s="1120">
        <f t="shared" si="75"/>
        <v>0</v>
      </c>
      <c r="CA46" s="227"/>
      <c r="CB46" s="227"/>
      <c r="CC46" s="227"/>
      <c r="CD46" s="227"/>
      <c r="CE46" s="227"/>
      <c r="CF46" s="227"/>
      <c r="CG46" s="227"/>
      <c r="CH46" s="227"/>
      <c r="CI46" s="227"/>
      <c r="CJ46" s="227"/>
      <c r="CK46" s="227"/>
      <c r="CL46" s="227"/>
      <c r="CM46" s="227"/>
      <c r="CN46" s="227"/>
      <c r="CO46" s="227"/>
      <c r="CP46" s="227"/>
      <c r="CQ46" s="227"/>
      <c r="CR46" s="227"/>
      <c r="CS46" s="227"/>
      <c r="CT46" s="227"/>
      <c r="CU46" s="227"/>
    </row>
    <row r="47" spans="1:103" ht="15.75">
      <c r="A47" s="995">
        <v>29</v>
      </c>
      <c r="B47" s="996" t="s">
        <v>623</v>
      </c>
      <c r="C47" s="1117">
        <f>'проект числ-сть'!M46</f>
        <v>566</v>
      </c>
      <c r="D47" s="1121">
        <f t="shared" si="11"/>
        <v>57</v>
      </c>
      <c r="E47" s="1100">
        <v>20</v>
      </c>
      <c r="F47" s="1122">
        <v>40</v>
      </c>
      <c r="G47" s="1121">
        <f t="shared" si="12"/>
        <v>102</v>
      </c>
      <c r="H47" s="1100">
        <v>324</v>
      </c>
      <c r="I47" s="1122"/>
      <c r="J47" s="1124"/>
      <c r="K47" s="1100"/>
      <c r="L47" s="1122"/>
      <c r="M47" s="1124"/>
      <c r="N47" s="1100">
        <v>50</v>
      </c>
      <c r="O47" s="1122"/>
      <c r="P47" s="1124"/>
      <c r="Q47" s="1100"/>
      <c r="R47" s="1122"/>
      <c r="S47" s="1124"/>
      <c r="T47" s="1100"/>
      <c r="U47" s="1122"/>
      <c r="V47" s="1124"/>
      <c r="W47" s="1100"/>
      <c r="X47" s="1122"/>
      <c r="Y47" s="1124"/>
      <c r="Z47" s="1100"/>
      <c r="AA47" s="1122"/>
      <c r="AB47" s="1124"/>
      <c r="AC47" s="1100">
        <v>1</v>
      </c>
      <c r="AD47" s="1122"/>
      <c r="AE47" s="1124">
        <f t="shared" si="13"/>
        <v>0.4</v>
      </c>
      <c r="AF47" s="1100"/>
      <c r="AG47" s="1122">
        <f t="shared" si="14"/>
        <v>0.4</v>
      </c>
      <c r="AH47" s="1124">
        <f t="shared" si="15"/>
        <v>45</v>
      </c>
      <c r="AI47" s="1100">
        <v>288</v>
      </c>
      <c r="AJ47" s="1122">
        <f t="shared" si="16"/>
        <v>0</v>
      </c>
      <c r="AK47" s="1124">
        <f t="shared" si="17"/>
        <v>170</v>
      </c>
      <c r="AL47" s="1100">
        <v>250</v>
      </c>
      <c r="AM47" s="1122"/>
      <c r="AN47" s="1124">
        <f t="shared" si="18"/>
        <v>3</v>
      </c>
      <c r="AO47" s="1100">
        <v>25</v>
      </c>
      <c r="AP47" s="1122">
        <f t="shared" si="19"/>
        <v>0</v>
      </c>
      <c r="AQ47" s="1124">
        <f t="shared" si="20"/>
        <v>170</v>
      </c>
      <c r="AR47" s="1105"/>
      <c r="AS47" s="1122"/>
      <c r="AT47" s="1124">
        <f t="shared" si="21"/>
        <v>23</v>
      </c>
      <c r="AU47" s="1100"/>
      <c r="AV47" s="1122">
        <v>30</v>
      </c>
      <c r="AW47" s="1124">
        <f t="shared" si="5"/>
        <v>4</v>
      </c>
      <c r="AX47" s="1100"/>
      <c r="AY47" s="1122">
        <v>5</v>
      </c>
      <c r="AZ47" s="1124">
        <f t="shared" si="22"/>
        <v>34</v>
      </c>
      <c r="BA47" s="1100"/>
      <c r="BB47" s="1122"/>
      <c r="BC47" s="1136">
        <f t="shared" si="23"/>
        <v>2</v>
      </c>
      <c r="BD47" s="1130"/>
      <c r="BE47" s="1130"/>
      <c r="BF47" s="1131">
        <f t="shared" si="24"/>
        <v>4</v>
      </c>
      <c r="BG47" s="1100"/>
      <c r="BH47" s="1122">
        <v>6</v>
      </c>
      <c r="BI47" s="1124"/>
      <c r="BJ47" s="1100"/>
      <c r="BK47" s="1122"/>
      <c r="BL47" s="1124"/>
      <c r="BM47" s="1100">
        <v>1</v>
      </c>
      <c r="BN47" s="1122"/>
      <c r="BO47" s="1124">
        <f t="shared" si="34"/>
        <v>1</v>
      </c>
      <c r="BP47" s="1100">
        <v>1</v>
      </c>
      <c r="BQ47" s="1122"/>
      <c r="BR47" s="1124"/>
      <c r="BS47" s="1100">
        <v>0</v>
      </c>
      <c r="BT47" s="1122">
        <v>1</v>
      </c>
      <c r="BU47" s="1124">
        <f t="shared" si="25"/>
        <v>3</v>
      </c>
      <c r="BV47" s="1100"/>
      <c r="BW47" s="1122">
        <v>4</v>
      </c>
      <c r="BX47" s="1126">
        <f t="shared" si="26"/>
        <v>0.1</v>
      </c>
      <c r="BY47" s="1106">
        <v>5.66</v>
      </c>
      <c r="BZ47" s="1122">
        <f t="shared" si="27"/>
        <v>0</v>
      </c>
      <c r="CV47" s="30"/>
      <c r="CW47" s="30"/>
      <c r="CX47" s="30"/>
      <c r="CY47" s="30"/>
    </row>
    <row r="48" spans="1:103" ht="15.75">
      <c r="A48" s="995">
        <v>30</v>
      </c>
      <c r="B48" s="996" t="s">
        <v>711</v>
      </c>
      <c r="C48" s="1117">
        <f>'проект числ-сть'!M47</f>
        <v>41</v>
      </c>
      <c r="D48" s="1121">
        <f t="shared" si="11"/>
        <v>4</v>
      </c>
      <c r="E48" s="1100"/>
      <c r="F48" s="1122"/>
      <c r="G48" s="1121">
        <f t="shared" si="12"/>
        <v>7</v>
      </c>
      <c r="H48" s="1100"/>
      <c r="I48" s="1122"/>
      <c r="J48" s="1124"/>
      <c r="K48" s="1100"/>
      <c r="L48" s="1122"/>
      <c r="M48" s="1124"/>
      <c r="N48" s="1100"/>
      <c r="O48" s="1122"/>
      <c r="P48" s="1124"/>
      <c r="Q48" s="1100"/>
      <c r="R48" s="1122"/>
      <c r="S48" s="1124"/>
      <c r="T48" s="1100"/>
      <c r="U48" s="1122"/>
      <c r="V48" s="1124"/>
      <c r="W48" s="1100"/>
      <c r="X48" s="1122"/>
      <c r="Y48" s="1124"/>
      <c r="Z48" s="1100"/>
      <c r="AA48" s="1122"/>
      <c r="AB48" s="1124"/>
      <c r="AC48" s="1100"/>
      <c r="AD48" s="1122"/>
      <c r="AE48" s="1124">
        <f t="shared" si="13"/>
        <v>0</v>
      </c>
      <c r="AF48" s="1100"/>
      <c r="AG48" s="1122">
        <f t="shared" si="14"/>
        <v>0</v>
      </c>
      <c r="AH48" s="1124">
        <f t="shared" si="15"/>
        <v>3</v>
      </c>
      <c r="AI48" s="1100"/>
      <c r="AJ48" s="1122">
        <f t="shared" si="16"/>
        <v>3</v>
      </c>
      <c r="AK48" s="1124">
        <f t="shared" si="17"/>
        <v>12</v>
      </c>
      <c r="AL48" s="1100"/>
      <c r="AM48" s="1122"/>
      <c r="AN48" s="1124">
        <f t="shared" si="18"/>
        <v>0</v>
      </c>
      <c r="AO48" s="1100"/>
      <c r="AP48" s="1122">
        <f t="shared" si="19"/>
        <v>0</v>
      </c>
      <c r="AQ48" s="1124">
        <f t="shared" si="20"/>
        <v>12</v>
      </c>
      <c r="AR48" s="1105"/>
      <c r="AS48" s="1122">
        <v>12</v>
      </c>
      <c r="AT48" s="1124">
        <f t="shared" si="21"/>
        <v>2</v>
      </c>
      <c r="AU48" s="1100"/>
      <c r="AV48" s="1122"/>
      <c r="AW48" s="1124">
        <f t="shared" si="5"/>
        <v>0</v>
      </c>
      <c r="AX48" s="1100"/>
      <c r="AY48" s="1122"/>
      <c r="AZ48" s="1124">
        <f t="shared" si="22"/>
        <v>2</v>
      </c>
      <c r="BA48" s="1100"/>
      <c r="BB48" s="1122"/>
      <c r="BC48" s="1136">
        <f t="shared" si="23"/>
        <v>0.1</v>
      </c>
      <c r="BD48" s="1130"/>
      <c r="BE48" s="1130"/>
      <c r="BF48" s="1131">
        <f t="shared" si="24"/>
        <v>0</v>
      </c>
      <c r="BG48" s="1100"/>
      <c r="BH48" s="1122"/>
      <c r="BI48" s="1124"/>
      <c r="BJ48" s="1100"/>
      <c r="BK48" s="1122"/>
      <c r="BL48" s="1124"/>
      <c r="BM48" s="1100"/>
      <c r="BN48" s="1122"/>
      <c r="BO48" s="1124">
        <f t="shared" si="34"/>
        <v>0</v>
      </c>
      <c r="BP48" s="1100"/>
      <c r="BQ48" s="1122"/>
      <c r="BR48" s="1124"/>
      <c r="BS48" s="1100"/>
      <c r="BT48" s="1122"/>
      <c r="BU48" s="1124">
        <f t="shared" si="25"/>
        <v>0</v>
      </c>
      <c r="BV48" s="1100"/>
      <c r="BW48" s="1122"/>
      <c r="BX48" s="1126">
        <f t="shared" si="26"/>
        <v>0</v>
      </c>
      <c r="BY48" s="1108"/>
      <c r="BZ48" s="1122">
        <f t="shared" si="27"/>
        <v>0</v>
      </c>
      <c r="CV48" s="30"/>
      <c r="CW48" s="30"/>
      <c r="CX48" s="30"/>
      <c r="CY48" s="30"/>
    </row>
    <row r="49" spans="1:103" ht="15.75">
      <c r="A49" s="995">
        <v>31</v>
      </c>
      <c r="B49" s="996" t="s">
        <v>712</v>
      </c>
      <c r="C49" s="1117">
        <f>'проект числ-сть'!M48</f>
        <v>109</v>
      </c>
      <c r="D49" s="1121">
        <f t="shared" si="11"/>
        <v>11</v>
      </c>
      <c r="E49" s="1100"/>
      <c r="F49" s="1122">
        <v>15</v>
      </c>
      <c r="G49" s="1121">
        <f t="shared" si="12"/>
        <v>20</v>
      </c>
      <c r="H49" s="1100"/>
      <c r="I49" s="1122"/>
      <c r="J49" s="1124"/>
      <c r="K49" s="1100"/>
      <c r="L49" s="1122"/>
      <c r="M49" s="1124"/>
      <c r="N49" s="1100"/>
      <c r="O49" s="1122"/>
      <c r="P49" s="1124"/>
      <c r="Q49" s="1100"/>
      <c r="R49" s="1122"/>
      <c r="S49" s="1124"/>
      <c r="T49" s="1100">
        <v>1</v>
      </c>
      <c r="U49" s="1122"/>
      <c r="V49" s="1124"/>
      <c r="W49" s="1100"/>
      <c r="X49" s="1122"/>
      <c r="Y49" s="1124"/>
      <c r="Z49" s="1100"/>
      <c r="AA49" s="1122"/>
      <c r="AB49" s="1124"/>
      <c r="AC49" s="1100"/>
      <c r="AD49" s="1122">
        <v>1</v>
      </c>
      <c r="AE49" s="1124">
        <f t="shared" si="13"/>
        <v>0.1</v>
      </c>
      <c r="AF49" s="1100"/>
      <c r="AG49" s="1122">
        <f t="shared" si="14"/>
        <v>0.1</v>
      </c>
      <c r="AH49" s="1124">
        <f t="shared" si="15"/>
        <v>9</v>
      </c>
      <c r="AI49" s="1100"/>
      <c r="AJ49" s="1122">
        <f t="shared" si="16"/>
        <v>9</v>
      </c>
      <c r="AK49" s="1124">
        <f t="shared" si="17"/>
        <v>33</v>
      </c>
      <c r="AL49" s="1100">
        <v>40</v>
      </c>
      <c r="AM49" s="1122"/>
      <c r="AN49" s="1124">
        <f t="shared" si="18"/>
        <v>1</v>
      </c>
      <c r="AO49" s="1100" t="s">
        <v>890</v>
      </c>
      <c r="AP49" s="1122" t="s">
        <v>890</v>
      </c>
      <c r="AQ49" s="1124">
        <f t="shared" si="20"/>
        <v>33</v>
      </c>
      <c r="AR49" s="1105"/>
      <c r="AS49" s="1122"/>
      <c r="AT49" s="1124">
        <f t="shared" si="21"/>
        <v>4</v>
      </c>
      <c r="AU49" s="1100"/>
      <c r="AV49" s="1122"/>
      <c r="AW49" s="1124">
        <f t="shared" si="5"/>
        <v>1</v>
      </c>
      <c r="AX49" s="1100"/>
      <c r="AY49" s="1122"/>
      <c r="AZ49" s="1124">
        <f t="shared" si="22"/>
        <v>7</v>
      </c>
      <c r="BA49" s="1100"/>
      <c r="BB49" s="1122"/>
      <c r="BC49" s="1136">
        <f t="shared" si="23"/>
        <v>0.4</v>
      </c>
      <c r="BD49" s="1130"/>
      <c r="BE49" s="1130"/>
      <c r="BF49" s="1131">
        <f t="shared" si="24"/>
        <v>1</v>
      </c>
      <c r="BG49" s="1100"/>
      <c r="BH49" s="1122"/>
      <c r="BI49" s="1124"/>
      <c r="BJ49" s="1100"/>
      <c r="BK49" s="1122"/>
      <c r="BL49" s="1124"/>
      <c r="BM49" s="1100"/>
      <c r="BN49" s="1122"/>
      <c r="BO49" s="1124">
        <f t="shared" si="34"/>
        <v>0</v>
      </c>
      <c r="BP49" s="1100"/>
      <c r="BQ49" s="1122"/>
      <c r="BR49" s="1124"/>
      <c r="BS49" s="1100"/>
      <c r="BT49" s="1122"/>
      <c r="BU49" s="1124">
        <f t="shared" si="25"/>
        <v>1</v>
      </c>
      <c r="BV49" s="1100"/>
      <c r="BW49" s="1122"/>
      <c r="BX49" s="1126">
        <f t="shared" si="26"/>
        <v>0</v>
      </c>
      <c r="BY49" s="1108"/>
      <c r="BZ49" s="1122">
        <f t="shared" si="27"/>
        <v>0</v>
      </c>
      <c r="CV49" s="30"/>
      <c r="CW49" s="30"/>
      <c r="CX49" s="30"/>
      <c r="CY49" s="30"/>
    </row>
    <row r="50" spans="1:103" s="576" customFormat="1" ht="15.75">
      <c r="A50" s="993"/>
      <c r="B50" s="994" t="s">
        <v>713</v>
      </c>
      <c r="C50" s="1116">
        <f>'проект числ-сть'!M49</f>
        <v>997</v>
      </c>
      <c r="D50" s="1119">
        <f>D51+D52+D53+D54</f>
        <v>100</v>
      </c>
      <c r="E50" s="992">
        <f t="shared" ref="E50:F50" si="76">E51+E52+E53+E54</f>
        <v>25</v>
      </c>
      <c r="F50" s="1120">
        <f t="shared" si="76"/>
        <v>65</v>
      </c>
      <c r="G50" s="1119">
        <f t="shared" ref="G50:BS50" si="77">G51+G52+G53+G54</f>
        <v>180</v>
      </c>
      <c r="H50" s="992">
        <f t="shared" si="77"/>
        <v>192</v>
      </c>
      <c r="I50" s="1120">
        <f t="shared" si="77"/>
        <v>0</v>
      </c>
      <c r="J50" s="1119">
        <f t="shared" si="77"/>
        <v>0</v>
      </c>
      <c r="K50" s="992">
        <f t="shared" si="77"/>
        <v>0</v>
      </c>
      <c r="L50" s="1120">
        <f t="shared" si="77"/>
        <v>0</v>
      </c>
      <c r="M50" s="1119">
        <f t="shared" si="77"/>
        <v>0</v>
      </c>
      <c r="N50" s="992">
        <f t="shared" si="77"/>
        <v>0</v>
      </c>
      <c r="O50" s="1120">
        <f t="shared" si="77"/>
        <v>0</v>
      </c>
      <c r="P50" s="1119">
        <f t="shared" si="77"/>
        <v>0</v>
      </c>
      <c r="Q50" s="992">
        <f t="shared" si="77"/>
        <v>0</v>
      </c>
      <c r="R50" s="1120">
        <f t="shared" si="77"/>
        <v>0</v>
      </c>
      <c r="S50" s="1119">
        <f t="shared" si="77"/>
        <v>0</v>
      </c>
      <c r="T50" s="992">
        <f t="shared" si="77"/>
        <v>3</v>
      </c>
      <c r="U50" s="1120">
        <f t="shared" si="77"/>
        <v>0</v>
      </c>
      <c r="V50" s="1119">
        <f t="shared" si="77"/>
        <v>0</v>
      </c>
      <c r="W50" s="992">
        <f t="shared" si="77"/>
        <v>0</v>
      </c>
      <c r="X50" s="1120">
        <f t="shared" si="77"/>
        <v>0</v>
      </c>
      <c r="Y50" s="1119">
        <f t="shared" si="77"/>
        <v>0</v>
      </c>
      <c r="Z50" s="992">
        <f t="shared" si="77"/>
        <v>0</v>
      </c>
      <c r="AA50" s="1120">
        <f t="shared" si="77"/>
        <v>0</v>
      </c>
      <c r="AB50" s="1119">
        <f t="shared" si="77"/>
        <v>0</v>
      </c>
      <c r="AC50" s="992">
        <f t="shared" si="77"/>
        <v>0</v>
      </c>
      <c r="AD50" s="1120">
        <f t="shared" si="77"/>
        <v>3</v>
      </c>
      <c r="AE50" s="1119">
        <f t="shared" si="77"/>
        <v>0.6</v>
      </c>
      <c r="AF50" s="992">
        <f t="shared" si="77"/>
        <v>0.4</v>
      </c>
      <c r="AG50" s="1120">
        <f t="shared" si="77"/>
        <v>0.2</v>
      </c>
      <c r="AH50" s="1119">
        <f t="shared" si="77"/>
        <v>80</v>
      </c>
      <c r="AI50" s="992">
        <f t="shared" si="77"/>
        <v>135</v>
      </c>
      <c r="AJ50" s="1120">
        <f t="shared" si="77"/>
        <v>31</v>
      </c>
      <c r="AK50" s="1119">
        <f t="shared" si="77"/>
        <v>299</v>
      </c>
      <c r="AL50" s="992">
        <f t="shared" si="77"/>
        <v>185</v>
      </c>
      <c r="AM50" s="1120">
        <f t="shared" si="77"/>
        <v>120</v>
      </c>
      <c r="AN50" s="1119">
        <f t="shared" si="77"/>
        <v>6</v>
      </c>
      <c r="AO50" s="992">
        <f t="shared" si="77"/>
        <v>8</v>
      </c>
      <c r="AP50" s="1120">
        <f t="shared" si="77"/>
        <v>4</v>
      </c>
      <c r="AQ50" s="1119">
        <f t="shared" si="77"/>
        <v>299</v>
      </c>
      <c r="AR50" s="992" t="s">
        <v>890</v>
      </c>
      <c r="AS50" s="1120">
        <f t="shared" ref="AS50" si="78">AS51+AS52+AS53+AS54</f>
        <v>306</v>
      </c>
      <c r="AT50" s="1119">
        <f t="shared" si="77"/>
        <v>40</v>
      </c>
      <c r="AU50" s="992">
        <f t="shared" si="77"/>
        <v>0</v>
      </c>
      <c r="AV50" s="1120">
        <f t="shared" si="77"/>
        <v>25</v>
      </c>
      <c r="AW50" s="1119">
        <f t="shared" si="77"/>
        <v>6</v>
      </c>
      <c r="AX50" s="992">
        <f t="shared" si="77"/>
        <v>0</v>
      </c>
      <c r="AY50" s="1120">
        <f t="shared" si="77"/>
        <v>4</v>
      </c>
      <c r="AZ50" s="1119">
        <f t="shared" si="77"/>
        <v>60</v>
      </c>
      <c r="BA50" s="992">
        <f t="shared" si="77"/>
        <v>0</v>
      </c>
      <c r="BB50" s="1120">
        <f>BB51+BB52+BB53+BB54</f>
        <v>65</v>
      </c>
      <c r="BC50" s="1135">
        <f t="shared" ref="BC50:BE50" si="79">BC51+BC52+BC53+BC54</f>
        <v>3.5000000000000004</v>
      </c>
      <c r="BD50" s="992">
        <f t="shared" si="79"/>
        <v>0</v>
      </c>
      <c r="BE50" s="992">
        <f t="shared" si="79"/>
        <v>0</v>
      </c>
      <c r="BF50" s="1137">
        <f t="shared" si="77"/>
        <v>6</v>
      </c>
      <c r="BG50" s="992">
        <f t="shared" si="77"/>
        <v>0</v>
      </c>
      <c r="BH50" s="1120">
        <f t="shared" si="77"/>
        <v>10</v>
      </c>
      <c r="BI50" s="1119">
        <f t="shared" si="77"/>
        <v>0</v>
      </c>
      <c r="BJ50" s="992">
        <f t="shared" si="77"/>
        <v>0</v>
      </c>
      <c r="BK50" s="1120">
        <f t="shared" si="77"/>
        <v>1</v>
      </c>
      <c r="BL50" s="1119">
        <f t="shared" si="77"/>
        <v>0</v>
      </c>
      <c r="BM50" s="992">
        <f t="shared" si="77"/>
        <v>0</v>
      </c>
      <c r="BN50" s="1120">
        <f t="shared" si="77"/>
        <v>0</v>
      </c>
      <c r="BO50" s="992">
        <f t="shared" si="77"/>
        <v>1</v>
      </c>
      <c r="BP50" s="992">
        <f t="shared" si="77"/>
        <v>0</v>
      </c>
      <c r="BQ50" s="1120">
        <f t="shared" si="77"/>
        <v>0</v>
      </c>
      <c r="BR50" s="1119">
        <f t="shared" si="77"/>
        <v>0</v>
      </c>
      <c r="BS50" s="992">
        <f t="shared" si="77"/>
        <v>0</v>
      </c>
      <c r="BT50" s="1120">
        <f t="shared" ref="BT50" si="80">BT51+BT52+BT53+BT54</f>
        <v>1</v>
      </c>
      <c r="BU50" s="1119">
        <f t="shared" ref="BU50:BZ50" si="81">BU51+BU52+BU53+BU54</f>
        <v>6</v>
      </c>
      <c r="BV50" s="992">
        <f t="shared" si="81"/>
        <v>0</v>
      </c>
      <c r="BW50" s="1120">
        <f t="shared" si="81"/>
        <v>6</v>
      </c>
      <c r="BX50" s="1125">
        <f t="shared" si="81"/>
        <v>0.1</v>
      </c>
      <c r="BY50" s="1107">
        <f t="shared" si="81"/>
        <v>4.5</v>
      </c>
      <c r="BZ50" s="1120">
        <f t="shared" si="81"/>
        <v>0</v>
      </c>
      <c r="CA50" s="227"/>
      <c r="CB50" s="227"/>
      <c r="CC50" s="227"/>
      <c r="CD50" s="227"/>
      <c r="CE50" s="227"/>
      <c r="CF50" s="227"/>
      <c r="CG50" s="227"/>
      <c r="CH50" s="227"/>
      <c r="CI50" s="227"/>
      <c r="CJ50" s="227"/>
      <c r="CK50" s="227"/>
      <c r="CL50" s="227"/>
      <c r="CM50" s="227"/>
      <c r="CN50" s="227"/>
      <c r="CO50" s="227"/>
      <c r="CP50" s="227"/>
      <c r="CQ50" s="227"/>
      <c r="CR50" s="227"/>
      <c r="CS50" s="227"/>
      <c r="CT50" s="227"/>
      <c r="CU50" s="227"/>
    </row>
    <row r="51" spans="1:103" s="30" customFormat="1" ht="15.75">
      <c r="A51" s="998">
        <v>32</v>
      </c>
      <c r="B51" s="1001" t="s">
        <v>714</v>
      </c>
      <c r="C51" s="1117">
        <f>'проект числ-сть'!M50</f>
        <v>610</v>
      </c>
      <c r="D51" s="1121">
        <f t="shared" si="11"/>
        <v>61</v>
      </c>
      <c r="E51" s="1130">
        <v>25</v>
      </c>
      <c r="F51" s="1122">
        <v>25</v>
      </c>
      <c r="G51" s="1121">
        <f t="shared" si="12"/>
        <v>110</v>
      </c>
      <c r="H51" s="1130">
        <v>192</v>
      </c>
      <c r="I51" s="1122"/>
      <c r="J51" s="1124"/>
      <c r="K51" s="1130"/>
      <c r="L51" s="1122"/>
      <c r="M51" s="1124"/>
      <c r="N51" s="1130"/>
      <c r="O51" s="1122"/>
      <c r="P51" s="1124"/>
      <c r="Q51" s="1130"/>
      <c r="R51" s="1122"/>
      <c r="S51" s="1124"/>
      <c r="T51" s="1130">
        <v>1</v>
      </c>
      <c r="U51" s="1122"/>
      <c r="V51" s="1124"/>
      <c r="W51" s="1130"/>
      <c r="X51" s="1122"/>
      <c r="Y51" s="1124"/>
      <c r="Z51" s="1130"/>
      <c r="AA51" s="1122"/>
      <c r="AB51" s="1124"/>
      <c r="AC51" s="1130"/>
      <c r="AD51" s="1122">
        <v>1</v>
      </c>
      <c r="AE51" s="1124">
        <f t="shared" si="13"/>
        <v>0.4</v>
      </c>
      <c r="AF51" s="1130">
        <v>0.4</v>
      </c>
      <c r="AG51" s="1122"/>
      <c r="AH51" s="1124">
        <f t="shared" si="15"/>
        <v>49</v>
      </c>
      <c r="AI51" s="1130">
        <v>135</v>
      </c>
      <c r="AJ51" s="1122"/>
      <c r="AK51" s="1124">
        <f t="shared" si="17"/>
        <v>183</v>
      </c>
      <c r="AL51" s="1130">
        <v>185</v>
      </c>
      <c r="AM51" s="1122"/>
      <c r="AN51" s="1124">
        <f t="shared" si="18"/>
        <v>4</v>
      </c>
      <c r="AO51" s="1130">
        <v>0</v>
      </c>
      <c r="AP51" s="1122">
        <v>3</v>
      </c>
      <c r="AQ51" s="1124">
        <f t="shared" si="20"/>
        <v>183</v>
      </c>
      <c r="AR51" s="1130"/>
      <c r="AS51" s="1122">
        <v>296</v>
      </c>
      <c r="AT51" s="1124">
        <f t="shared" si="21"/>
        <v>24</v>
      </c>
      <c r="AU51" s="1130"/>
      <c r="AV51" s="1122">
        <v>25</v>
      </c>
      <c r="AW51" s="1124">
        <f t="shared" si="5"/>
        <v>4</v>
      </c>
      <c r="AX51" s="1130"/>
      <c r="AY51" s="1122">
        <v>4</v>
      </c>
      <c r="AZ51" s="1124">
        <f t="shared" si="22"/>
        <v>37</v>
      </c>
      <c r="BA51" s="1130"/>
      <c r="BB51" s="1122">
        <v>65</v>
      </c>
      <c r="BC51" s="1136">
        <f t="shared" si="23"/>
        <v>2.1</v>
      </c>
      <c r="BD51" s="1130"/>
      <c r="BE51" s="1130"/>
      <c r="BF51" s="1131">
        <f t="shared" si="24"/>
        <v>4</v>
      </c>
      <c r="BG51" s="1130"/>
      <c r="BH51" s="1122">
        <v>10</v>
      </c>
      <c r="BI51" s="1124"/>
      <c r="BJ51" s="1130">
        <v>0</v>
      </c>
      <c r="BK51" s="1122">
        <v>1</v>
      </c>
      <c r="BL51" s="1124"/>
      <c r="BM51" s="1130"/>
      <c r="BN51" s="1122"/>
      <c r="BO51" s="1124">
        <f t="shared" si="34"/>
        <v>1</v>
      </c>
      <c r="BP51" s="1130"/>
      <c r="BQ51" s="1122"/>
      <c r="BR51" s="1124"/>
      <c r="BS51" s="1130">
        <v>0</v>
      </c>
      <c r="BT51" s="1122">
        <v>1</v>
      </c>
      <c r="BU51" s="1124">
        <f t="shared" si="25"/>
        <v>4</v>
      </c>
      <c r="BV51" s="1130"/>
      <c r="BW51" s="1122">
        <v>6</v>
      </c>
      <c r="BX51" s="1126">
        <f t="shared" si="26"/>
        <v>0.1</v>
      </c>
      <c r="BY51" s="1108">
        <v>1.5</v>
      </c>
      <c r="BZ51" s="1122">
        <f t="shared" si="27"/>
        <v>0</v>
      </c>
      <c r="CA51" s="227"/>
      <c r="CB51" s="227"/>
      <c r="CC51" s="227"/>
      <c r="CD51" s="227"/>
      <c r="CE51" s="227"/>
      <c r="CF51" s="227"/>
      <c r="CG51" s="227"/>
      <c r="CH51" s="227"/>
      <c r="CI51" s="227"/>
      <c r="CJ51" s="227"/>
      <c r="CK51" s="227"/>
      <c r="CL51" s="227"/>
      <c r="CM51" s="227"/>
      <c r="CN51" s="227"/>
      <c r="CO51" s="227"/>
      <c r="CP51" s="227"/>
      <c r="CQ51" s="227"/>
      <c r="CR51" s="227"/>
      <c r="CS51" s="227"/>
      <c r="CT51" s="227"/>
      <c r="CU51" s="227"/>
    </row>
    <row r="52" spans="1:103" ht="15.75">
      <c r="A52" s="995">
        <v>33</v>
      </c>
      <c r="B52" s="996" t="s">
        <v>715</v>
      </c>
      <c r="C52" s="1117">
        <f>'проект числ-сть'!M51</f>
        <v>23</v>
      </c>
      <c r="D52" s="1121">
        <f t="shared" si="11"/>
        <v>2</v>
      </c>
      <c r="E52" s="1100"/>
      <c r="F52" s="1122"/>
      <c r="G52" s="1121">
        <f t="shared" si="12"/>
        <v>4</v>
      </c>
      <c r="H52" s="1100"/>
      <c r="I52" s="1122"/>
      <c r="J52" s="1124"/>
      <c r="K52" s="1100"/>
      <c r="L52" s="1122"/>
      <c r="M52" s="1124"/>
      <c r="N52" s="1100"/>
      <c r="O52" s="1122"/>
      <c r="P52" s="1124"/>
      <c r="Q52" s="1100"/>
      <c r="R52" s="1122"/>
      <c r="S52" s="1124"/>
      <c r="T52" s="1100"/>
      <c r="U52" s="1122"/>
      <c r="V52" s="1124"/>
      <c r="W52" s="1100"/>
      <c r="X52" s="1122"/>
      <c r="Y52" s="1124"/>
      <c r="Z52" s="1100"/>
      <c r="AA52" s="1122"/>
      <c r="AB52" s="1124"/>
      <c r="AC52" s="1100"/>
      <c r="AD52" s="1122"/>
      <c r="AE52" s="1124">
        <f t="shared" si="13"/>
        <v>0</v>
      </c>
      <c r="AF52" s="1100"/>
      <c r="AG52" s="1122">
        <f t="shared" si="14"/>
        <v>0</v>
      </c>
      <c r="AH52" s="1124">
        <f t="shared" si="15"/>
        <v>2</v>
      </c>
      <c r="AI52" s="1100"/>
      <c r="AJ52" s="1122">
        <f t="shared" si="16"/>
        <v>2</v>
      </c>
      <c r="AK52" s="1124">
        <f t="shared" si="17"/>
        <v>7</v>
      </c>
      <c r="AL52" s="1100"/>
      <c r="AM52" s="1122"/>
      <c r="AN52" s="1124">
        <f t="shared" si="18"/>
        <v>0</v>
      </c>
      <c r="AO52" s="1100"/>
      <c r="AP52" s="1122">
        <f t="shared" si="19"/>
        <v>0</v>
      </c>
      <c r="AQ52" s="1124">
        <f t="shared" si="20"/>
        <v>7</v>
      </c>
      <c r="AR52" s="1105"/>
      <c r="AS52" s="1122">
        <v>10</v>
      </c>
      <c r="AT52" s="1124">
        <f t="shared" si="21"/>
        <v>1</v>
      </c>
      <c r="AU52" s="1100"/>
      <c r="AV52" s="1122"/>
      <c r="AW52" s="1124">
        <f t="shared" si="5"/>
        <v>0</v>
      </c>
      <c r="AX52" s="1100"/>
      <c r="AY52" s="1122"/>
      <c r="AZ52" s="1124">
        <f t="shared" si="22"/>
        <v>1</v>
      </c>
      <c r="BA52" s="1100"/>
      <c r="BB52" s="1122"/>
      <c r="BC52" s="1136">
        <f t="shared" si="23"/>
        <v>0.1</v>
      </c>
      <c r="BD52" s="1130"/>
      <c r="BE52" s="1130"/>
      <c r="BF52" s="1131">
        <f t="shared" si="24"/>
        <v>0</v>
      </c>
      <c r="BG52" s="1100"/>
      <c r="BH52" s="1122"/>
      <c r="BI52" s="1124"/>
      <c r="BJ52" s="1100"/>
      <c r="BK52" s="1122"/>
      <c r="BL52" s="1124"/>
      <c r="BM52" s="1100"/>
      <c r="BN52" s="1122"/>
      <c r="BO52" s="1124">
        <f t="shared" si="34"/>
        <v>0</v>
      </c>
      <c r="BP52" s="1100"/>
      <c r="BQ52" s="1122"/>
      <c r="BR52" s="1124"/>
      <c r="BS52" s="1100"/>
      <c r="BT52" s="1122"/>
      <c r="BU52" s="1124">
        <f t="shared" si="25"/>
        <v>0</v>
      </c>
      <c r="BV52" s="1100"/>
      <c r="BW52" s="1122"/>
      <c r="BX52" s="1126">
        <f t="shared" si="26"/>
        <v>0</v>
      </c>
      <c r="BY52" s="1108">
        <v>1</v>
      </c>
      <c r="BZ52" s="1122">
        <f t="shared" si="27"/>
        <v>0</v>
      </c>
      <c r="CV52" s="30"/>
      <c r="CW52" s="30"/>
      <c r="CX52" s="30"/>
      <c r="CY52" s="30"/>
    </row>
    <row r="53" spans="1:103" ht="15.75">
      <c r="A53" s="995">
        <v>34</v>
      </c>
      <c r="B53" s="996" t="s">
        <v>625</v>
      </c>
      <c r="C53" s="1117">
        <f>'проект числ-сть'!M52</f>
        <v>198</v>
      </c>
      <c r="D53" s="1121">
        <f t="shared" si="11"/>
        <v>20</v>
      </c>
      <c r="E53" s="1100"/>
      <c r="F53" s="1122">
        <v>20</v>
      </c>
      <c r="G53" s="1121">
        <f t="shared" si="12"/>
        <v>36</v>
      </c>
      <c r="H53" s="1100"/>
      <c r="I53" s="1122"/>
      <c r="J53" s="1124"/>
      <c r="K53" s="1100"/>
      <c r="L53" s="1122"/>
      <c r="M53" s="1124"/>
      <c r="N53" s="1100"/>
      <c r="O53" s="1122"/>
      <c r="P53" s="1124"/>
      <c r="Q53" s="1100"/>
      <c r="R53" s="1122"/>
      <c r="S53" s="1124"/>
      <c r="T53" s="1100">
        <v>1</v>
      </c>
      <c r="U53" s="1122"/>
      <c r="V53" s="1124"/>
      <c r="W53" s="1100"/>
      <c r="X53" s="1122"/>
      <c r="Y53" s="1124"/>
      <c r="Z53" s="1100"/>
      <c r="AA53" s="1122"/>
      <c r="AB53" s="1124"/>
      <c r="AC53" s="1100"/>
      <c r="AD53" s="1122">
        <v>1</v>
      </c>
      <c r="AE53" s="1124">
        <f t="shared" si="13"/>
        <v>0.1</v>
      </c>
      <c r="AF53" s="1100"/>
      <c r="AG53" s="1122">
        <f t="shared" si="14"/>
        <v>0.1</v>
      </c>
      <c r="AH53" s="1124">
        <f t="shared" si="15"/>
        <v>16</v>
      </c>
      <c r="AI53" s="1100"/>
      <c r="AJ53" s="1122">
        <f t="shared" si="16"/>
        <v>16</v>
      </c>
      <c r="AK53" s="1124">
        <f t="shared" si="17"/>
        <v>59</v>
      </c>
      <c r="AL53" s="1100">
        <v>0</v>
      </c>
      <c r="AM53" s="1122">
        <v>60</v>
      </c>
      <c r="AN53" s="1124">
        <f t="shared" si="18"/>
        <v>1</v>
      </c>
      <c r="AO53" s="1100">
        <v>0</v>
      </c>
      <c r="AP53" s="1122">
        <f t="shared" si="19"/>
        <v>1</v>
      </c>
      <c r="AQ53" s="1124">
        <f t="shared" si="20"/>
        <v>59</v>
      </c>
      <c r="AR53" s="1105"/>
      <c r="AS53" s="1122"/>
      <c r="AT53" s="1124">
        <f t="shared" si="21"/>
        <v>8</v>
      </c>
      <c r="AU53" s="1100"/>
      <c r="AV53" s="1122"/>
      <c r="AW53" s="1124">
        <f t="shared" si="5"/>
        <v>1</v>
      </c>
      <c r="AX53" s="1100"/>
      <c r="AY53" s="1122"/>
      <c r="AZ53" s="1124">
        <f t="shared" si="22"/>
        <v>12</v>
      </c>
      <c r="BA53" s="1100"/>
      <c r="BB53" s="1122"/>
      <c r="BC53" s="1136">
        <f t="shared" si="23"/>
        <v>0.7</v>
      </c>
      <c r="BD53" s="1130"/>
      <c r="BE53" s="1130"/>
      <c r="BF53" s="1131">
        <f t="shared" si="24"/>
        <v>1</v>
      </c>
      <c r="BG53" s="1100"/>
      <c r="BH53" s="1122"/>
      <c r="BI53" s="1124"/>
      <c r="BJ53" s="1100"/>
      <c r="BK53" s="1122"/>
      <c r="BL53" s="1124"/>
      <c r="BM53" s="1100"/>
      <c r="BN53" s="1122"/>
      <c r="BO53" s="1124">
        <f t="shared" si="34"/>
        <v>0</v>
      </c>
      <c r="BP53" s="1100"/>
      <c r="BQ53" s="1122"/>
      <c r="BR53" s="1124"/>
      <c r="BS53" s="1100"/>
      <c r="BT53" s="1122"/>
      <c r="BU53" s="1124">
        <f t="shared" si="25"/>
        <v>1</v>
      </c>
      <c r="BV53" s="1100"/>
      <c r="BW53" s="1122"/>
      <c r="BX53" s="1126">
        <f t="shared" si="26"/>
        <v>0</v>
      </c>
      <c r="BY53" s="1108">
        <v>1</v>
      </c>
      <c r="BZ53" s="1122">
        <f t="shared" si="27"/>
        <v>0</v>
      </c>
      <c r="CV53" s="30"/>
      <c r="CW53" s="30"/>
      <c r="CX53" s="30"/>
      <c r="CY53" s="30"/>
    </row>
    <row r="54" spans="1:103" ht="15.75">
      <c r="A54" s="995">
        <v>35</v>
      </c>
      <c r="B54" s="996" t="s">
        <v>624</v>
      </c>
      <c r="C54" s="1117">
        <f>'проект числ-сть'!M53</f>
        <v>166</v>
      </c>
      <c r="D54" s="1121">
        <f t="shared" si="11"/>
        <v>17</v>
      </c>
      <c r="E54" s="1100"/>
      <c r="F54" s="1122">
        <v>20</v>
      </c>
      <c r="G54" s="1121">
        <f t="shared" si="12"/>
        <v>30</v>
      </c>
      <c r="H54" s="1100"/>
      <c r="I54" s="1122"/>
      <c r="J54" s="1124"/>
      <c r="K54" s="1100"/>
      <c r="L54" s="1122"/>
      <c r="M54" s="1124"/>
      <c r="N54" s="1100"/>
      <c r="O54" s="1122"/>
      <c r="P54" s="1124"/>
      <c r="Q54" s="1100"/>
      <c r="R54" s="1122"/>
      <c r="S54" s="1124"/>
      <c r="T54" s="1100">
        <v>1</v>
      </c>
      <c r="U54" s="1122"/>
      <c r="V54" s="1124"/>
      <c r="W54" s="1100"/>
      <c r="X54" s="1122"/>
      <c r="Y54" s="1124"/>
      <c r="Z54" s="1100"/>
      <c r="AA54" s="1122"/>
      <c r="AB54" s="1124"/>
      <c r="AC54" s="1100"/>
      <c r="AD54" s="1122">
        <v>1</v>
      </c>
      <c r="AE54" s="1124">
        <f t="shared" si="13"/>
        <v>0.1</v>
      </c>
      <c r="AF54" s="1100"/>
      <c r="AG54" s="1122">
        <f t="shared" si="14"/>
        <v>0.1</v>
      </c>
      <c r="AH54" s="1124">
        <f t="shared" si="15"/>
        <v>13</v>
      </c>
      <c r="AI54" s="1100"/>
      <c r="AJ54" s="1122">
        <f t="shared" si="16"/>
        <v>13</v>
      </c>
      <c r="AK54" s="1124">
        <f t="shared" si="17"/>
        <v>50</v>
      </c>
      <c r="AL54" s="1100">
        <v>0</v>
      </c>
      <c r="AM54" s="1122">
        <v>60</v>
      </c>
      <c r="AN54" s="1124">
        <f t="shared" si="18"/>
        <v>1</v>
      </c>
      <c r="AO54" s="1100">
        <v>8</v>
      </c>
      <c r="AP54" s="1122">
        <f t="shared" si="19"/>
        <v>0</v>
      </c>
      <c r="AQ54" s="1124">
        <f t="shared" si="20"/>
        <v>50</v>
      </c>
      <c r="AR54" s="1105"/>
      <c r="AS54" s="1122"/>
      <c r="AT54" s="1124">
        <f t="shared" si="21"/>
        <v>7</v>
      </c>
      <c r="AU54" s="1100"/>
      <c r="AV54" s="1122"/>
      <c r="AW54" s="1124">
        <f t="shared" si="5"/>
        <v>1</v>
      </c>
      <c r="AX54" s="1100"/>
      <c r="AY54" s="1122"/>
      <c r="AZ54" s="1124">
        <f t="shared" si="22"/>
        <v>10</v>
      </c>
      <c r="BA54" s="1100"/>
      <c r="BB54" s="1122"/>
      <c r="BC54" s="1136">
        <f t="shared" si="23"/>
        <v>0.6</v>
      </c>
      <c r="BD54" s="1130"/>
      <c r="BE54" s="1130"/>
      <c r="BF54" s="1131">
        <f t="shared" si="24"/>
        <v>1</v>
      </c>
      <c r="BG54" s="1100"/>
      <c r="BH54" s="1122"/>
      <c r="BI54" s="1124"/>
      <c r="BJ54" s="1100"/>
      <c r="BK54" s="1122"/>
      <c r="BL54" s="1124"/>
      <c r="BM54" s="1100"/>
      <c r="BN54" s="1122"/>
      <c r="BO54" s="1124">
        <f t="shared" si="34"/>
        <v>0</v>
      </c>
      <c r="BP54" s="1100"/>
      <c r="BQ54" s="1122"/>
      <c r="BR54" s="1124"/>
      <c r="BS54" s="1100"/>
      <c r="BT54" s="1122"/>
      <c r="BU54" s="1124">
        <f t="shared" si="25"/>
        <v>1</v>
      </c>
      <c r="BV54" s="1100"/>
      <c r="BW54" s="1122"/>
      <c r="BX54" s="1126">
        <f t="shared" si="26"/>
        <v>0</v>
      </c>
      <c r="BY54" s="1108">
        <v>1</v>
      </c>
      <c r="BZ54" s="1122">
        <f t="shared" si="27"/>
        <v>0</v>
      </c>
      <c r="CV54" s="30"/>
      <c r="CW54" s="30"/>
      <c r="CX54" s="30"/>
      <c r="CY54" s="30"/>
    </row>
    <row r="55" spans="1:103" s="1158" customFormat="1" ht="16.5" thickBot="1">
      <c r="A55" s="1343" t="s">
        <v>716</v>
      </c>
      <c r="B55" s="1343"/>
      <c r="C55" s="1151">
        <f>'проект числ-сть'!M54</f>
        <v>14100.666666666668</v>
      </c>
      <c r="D55" s="1152">
        <f>D5+D7+D12+D15+D19+D22+D25+D29+D35+D41+D46+D50</f>
        <v>1411</v>
      </c>
      <c r="E55" s="1153">
        <f t="shared" ref="E55:F55" si="82">E5+E7+E12+E15+E19+E22+E25+E29+E35+E41+E46+E50</f>
        <v>230</v>
      </c>
      <c r="F55" s="1154">
        <f t="shared" si="82"/>
        <v>1115</v>
      </c>
      <c r="G55" s="1152">
        <f t="shared" ref="G55:BS55" si="83">G5+G7+G12+G15+G19+G22+G25+G29+G35+G41+G46+G50</f>
        <v>2540</v>
      </c>
      <c r="H55" s="1153">
        <f t="shared" si="83"/>
        <v>3889</v>
      </c>
      <c r="I55" s="1154">
        <f t="shared" si="83"/>
        <v>120</v>
      </c>
      <c r="J55" s="1152">
        <f t="shared" si="83"/>
        <v>0</v>
      </c>
      <c r="K55" s="1153">
        <f t="shared" si="83"/>
        <v>0</v>
      </c>
      <c r="L55" s="1154">
        <f t="shared" si="83"/>
        <v>140</v>
      </c>
      <c r="M55" s="1152">
        <f t="shared" si="83"/>
        <v>0</v>
      </c>
      <c r="N55" s="1153">
        <f t="shared" si="83"/>
        <v>500</v>
      </c>
      <c r="O55" s="1154">
        <f t="shared" si="83"/>
        <v>50</v>
      </c>
      <c r="P55" s="1152">
        <f t="shared" si="83"/>
        <v>0</v>
      </c>
      <c r="Q55" s="1153">
        <f t="shared" si="83"/>
        <v>74</v>
      </c>
      <c r="R55" s="1154">
        <f t="shared" si="83"/>
        <v>0</v>
      </c>
      <c r="S55" s="1152">
        <f t="shared" si="83"/>
        <v>0</v>
      </c>
      <c r="T55" s="1153">
        <f t="shared" si="83"/>
        <v>16</v>
      </c>
      <c r="U55" s="1154">
        <f t="shared" si="83"/>
        <v>3</v>
      </c>
      <c r="V55" s="1152">
        <f t="shared" si="83"/>
        <v>0</v>
      </c>
      <c r="W55" s="1153">
        <f t="shared" si="83"/>
        <v>0</v>
      </c>
      <c r="X55" s="1154">
        <f t="shared" si="83"/>
        <v>26</v>
      </c>
      <c r="Y55" s="1152">
        <f t="shared" si="83"/>
        <v>0</v>
      </c>
      <c r="Z55" s="1153">
        <f t="shared" si="83"/>
        <v>0</v>
      </c>
      <c r="AA55" s="1154">
        <f t="shared" si="83"/>
        <v>0</v>
      </c>
      <c r="AB55" s="1152">
        <f t="shared" si="83"/>
        <v>0</v>
      </c>
      <c r="AC55" s="1153">
        <f t="shared" si="83"/>
        <v>5</v>
      </c>
      <c r="AD55" s="1154">
        <f t="shared" si="83"/>
        <v>19</v>
      </c>
      <c r="AE55" s="1152">
        <f t="shared" si="83"/>
        <v>9.6</v>
      </c>
      <c r="AF55" s="1153" t="s">
        <v>890</v>
      </c>
      <c r="AG55" s="1154">
        <f t="shared" si="83"/>
        <v>6.18</v>
      </c>
      <c r="AH55" s="1152">
        <f t="shared" si="83"/>
        <v>1127</v>
      </c>
      <c r="AI55" s="1153">
        <f t="shared" si="83"/>
        <v>2427</v>
      </c>
      <c r="AJ55" s="1154">
        <f t="shared" si="83"/>
        <v>309</v>
      </c>
      <c r="AK55" s="1152">
        <f t="shared" si="83"/>
        <v>2641</v>
      </c>
      <c r="AL55" s="1153">
        <f t="shared" si="83"/>
        <v>1895</v>
      </c>
      <c r="AM55" s="1154">
        <f t="shared" si="83"/>
        <v>1240</v>
      </c>
      <c r="AN55" s="1152">
        <f t="shared" si="83"/>
        <v>83</v>
      </c>
      <c r="AO55" s="1153">
        <f>AO6+AO8+AO16+AO20+AO21+AO26+AO30+AO32+AO33+AO37+AO40+AO42+AO47+AO51+AO53+AO54</f>
        <v>113</v>
      </c>
      <c r="AP55" s="1154">
        <f>AP6+AP8+AP16+AP20+AP21+AP26+AP30+AP32+AP33+AP37+AP40+AP42+AP47+AP51+AP53+AP54</f>
        <v>63</v>
      </c>
      <c r="AQ55" s="1152">
        <f t="shared" si="83"/>
        <v>4232</v>
      </c>
      <c r="AR55" s="1153">
        <v>5794.3</v>
      </c>
      <c r="AS55" s="1154">
        <f t="shared" ref="AS55" si="84">AS5+AS7+AS12+AS15+AS19+AS22+AS25+AS29+AS35+AS41+AS46+AS50</f>
        <v>461</v>
      </c>
      <c r="AT55" s="1152">
        <f t="shared" si="83"/>
        <v>566</v>
      </c>
      <c r="AU55" s="1153">
        <f t="shared" si="83"/>
        <v>100</v>
      </c>
      <c r="AV55" s="1154">
        <f t="shared" si="83"/>
        <v>480</v>
      </c>
      <c r="AW55" s="1152">
        <f t="shared" si="83"/>
        <v>70.3</v>
      </c>
      <c r="AX55" s="1153">
        <f t="shared" si="83"/>
        <v>8</v>
      </c>
      <c r="AY55" s="1154">
        <f t="shared" si="83"/>
        <v>88</v>
      </c>
      <c r="AZ55" s="1152">
        <f t="shared" si="83"/>
        <v>846</v>
      </c>
      <c r="BA55" s="1153">
        <f t="shared" si="83"/>
        <v>0</v>
      </c>
      <c r="BB55" s="1154">
        <f>BB5+BB7+BB12+BB15+BB19+BB22+BB25+BB29+BB35+BB41+BB46+BB50</f>
        <v>990</v>
      </c>
      <c r="BC55" s="1155">
        <f t="shared" ref="BC55:BE55" si="85">BC5+BC7+BC12+BC15+BC19+BC22+BC25+BC29+BC35+BC41+BC46+BC50</f>
        <v>49.5</v>
      </c>
      <c r="BD55" s="1133">
        <f t="shared" si="85"/>
        <v>0</v>
      </c>
      <c r="BE55" s="1133">
        <f t="shared" si="85"/>
        <v>50</v>
      </c>
      <c r="BF55" s="1160">
        <f t="shared" si="83"/>
        <v>96</v>
      </c>
      <c r="BG55" s="1153">
        <f t="shared" si="83"/>
        <v>21</v>
      </c>
      <c r="BH55" s="1154">
        <f t="shared" si="83"/>
        <v>92</v>
      </c>
      <c r="BI55" s="1152">
        <f t="shared" si="83"/>
        <v>0</v>
      </c>
      <c r="BJ55" s="1153">
        <f t="shared" si="83"/>
        <v>10</v>
      </c>
      <c r="BK55" s="1154">
        <f t="shared" si="83"/>
        <v>4</v>
      </c>
      <c r="BL55" s="1152">
        <f t="shared" si="83"/>
        <v>0</v>
      </c>
      <c r="BM55" s="1153">
        <f t="shared" si="83"/>
        <v>6</v>
      </c>
      <c r="BN55" s="1154">
        <f t="shared" si="83"/>
        <v>2</v>
      </c>
      <c r="BO55" s="1152">
        <f t="shared" si="83"/>
        <v>11</v>
      </c>
      <c r="BP55" s="1153">
        <f t="shared" si="83"/>
        <v>15</v>
      </c>
      <c r="BQ55" s="1154">
        <f t="shared" si="83"/>
        <v>0</v>
      </c>
      <c r="BR55" s="1152">
        <f t="shared" si="83"/>
        <v>0</v>
      </c>
      <c r="BS55" s="1153">
        <f t="shared" si="83"/>
        <v>6</v>
      </c>
      <c r="BT55" s="1154">
        <f t="shared" ref="BT55" si="86">BT5+BT7+BT12+BT15+BT19+BT22+BT25+BT29+BT35+BT41+BT46+BT50</f>
        <v>8</v>
      </c>
      <c r="BU55" s="1152">
        <f t="shared" ref="BU55:BZ55" si="87">BU5+BU7+BU12+BU15+BU19+BU22+BU25+BU29+BU35+BU41+BU46+BU50</f>
        <v>83</v>
      </c>
      <c r="BV55" s="1153">
        <f t="shared" si="87"/>
        <v>0</v>
      </c>
      <c r="BW55" s="1154">
        <f t="shared" si="87"/>
        <v>87</v>
      </c>
      <c r="BX55" s="1156">
        <f t="shared" si="87"/>
        <v>2.9000000000000004</v>
      </c>
      <c r="BY55" s="1157">
        <f>BY5+BY7+BY15+BY19+BY25+BY29+BY35+BY41+BY46+BY50</f>
        <v>70.16</v>
      </c>
      <c r="BZ55" s="1154">
        <f t="shared" si="87"/>
        <v>0</v>
      </c>
      <c r="CA55" s="1161"/>
      <c r="CB55" s="1161"/>
      <c r="CC55" s="1161"/>
      <c r="CD55" s="1161"/>
      <c r="CE55" s="1161"/>
      <c r="CF55" s="1161"/>
      <c r="CG55" s="1161"/>
      <c r="CH55" s="1161"/>
      <c r="CI55" s="1161"/>
      <c r="CJ55" s="1161"/>
      <c r="CK55" s="1161"/>
      <c r="CL55" s="1161"/>
      <c r="CM55" s="1161"/>
      <c r="CN55" s="1161"/>
      <c r="CO55" s="1161"/>
      <c r="CP55" s="1161"/>
      <c r="CQ55" s="1161"/>
      <c r="CR55" s="1161"/>
      <c r="CS55" s="1161"/>
      <c r="CT55" s="1161"/>
      <c r="CU55" s="1161"/>
    </row>
    <row r="56" spans="1:103"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V56" s="30"/>
      <c r="CW56" s="30"/>
      <c r="CX56" s="30"/>
      <c r="CY56" s="30"/>
    </row>
    <row r="57" spans="1:103"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V57" s="30"/>
      <c r="CW57" s="30"/>
      <c r="CX57" s="30"/>
      <c r="CY57" s="30"/>
    </row>
    <row r="58" spans="1:103"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0"/>
      <c r="CV58" s="30"/>
      <c r="CW58" s="30"/>
      <c r="CX58" s="30"/>
      <c r="CY58" s="30"/>
    </row>
    <row r="59" spans="1:103"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V59" s="30"/>
      <c r="CW59" s="30"/>
      <c r="CX59" s="30"/>
      <c r="CY59" s="30"/>
    </row>
    <row r="60" spans="1:103"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0"/>
      <c r="CV60" s="30"/>
      <c r="CW60" s="30"/>
      <c r="CX60" s="30"/>
      <c r="CY60" s="30"/>
    </row>
    <row r="61" spans="1:103"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0"/>
      <c r="CV61" s="30"/>
      <c r="CW61" s="30"/>
      <c r="CX61" s="30"/>
      <c r="CY61" s="30"/>
    </row>
    <row r="62" spans="1:103"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0"/>
      <c r="CV62" s="30"/>
      <c r="CW62" s="30"/>
      <c r="CX62" s="30"/>
      <c r="CY62" s="30"/>
    </row>
    <row r="63" spans="1:103"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30"/>
      <c r="BX63" s="30"/>
      <c r="BY63" s="30"/>
      <c r="BZ63" s="30"/>
      <c r="CV63" s="30"/>
      <c r="CW63" s="30"/>
      <c r="CX63" s="30"/>
      <c r="CY63" s="30"/>
    </row>
    <row r="64" spans="1:103"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V64" s="30"/>
      <c r="CW64" s="30"/>
      <c r="CX64" s="30"/>
      <c r="CY64" s="30"/>
    </row>
    <row r="65" spans="4:103"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V65" s="30"/>
      <c r="CW65" s="30"/>
      <c r="CX65" s="30"/>
      <c r="CY65" s="30"/>
    </row>
    <row r="66" spans="4:103"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0"/>
      <c r="CV66" s="30"/>
      <c r="CW66" s="30"/>
      <c r="CX66" s="30"/>
      <c r="CY66" s="30"/>
    </row>
  </sheetData>
  <mergeCells count="79">
    <mergeCell ref="BX2:BZ2"/>
    <mergeCell ref="AE2:AG2"/>
    <mergeCell ref="BC2:BE2"/>
    <mergeCell ref="BC3:BC4"/>
    <mergeCell ref="BD3:BE3"/>
    <mergeCell ref="BY3:BZ3"/>
    <mergeCell ref="AX3:AY3"/>
    <mergeCell ref="BA3:BB3"/>
    <mergeCell ref="BL2:BN2"/>
    <mergeCell ref="BR2:BT2"/>
    <mergeCell ref="BU2:BW2"/>
    <mergeCell ref="BO2:BQ2"/>
    <mergeCell ref="AH2:AJ2"/>
    <mergeCell ref="AK2:AM2"/>
    <mergeCell ref="AT2:AV2"/>
    <mergeCell ref="AW2:AY2"/>
    <mergeCell ref="AT3:AT4"/>
    <mergeCell ref="AU3:AV3"/>
    <mergeCell ref="AW3:AW4"/>
    <mergeCell ref="AZ3:AZ4"/>
    <mergeCell ref="H3:I3"/>
    <mergeCell ref="AF3:AG3"/>
    <mergeCell ref="AL3:AM3"/>
    <mergeCell ref="AO3:AP3"/>
    <mergeCell ref="AR3:AS3"/>
    <mergeCell ref="W3:X3"/>
    <mergeCell ref="Z3:AA3"/>
    <mergeCell ref="AQ2:AS2"/>
    <mergeCell ref="M2:O2"/>
    <mergeCell ref="M3:M4"/>
    <mergeCell ref="N3:O3"/>
    <mergeCell ref="Q3:R3"/>
    <mergeCell ref="P2:R2"/>
    <mergeCell ref="P3:P4"/>
    <mergeCell ref="AC3:AD3"/>
    <mergeCell ref="AN3:AN4"/>
    <mergeCell ref="AQ3:AQ4"/>
    <mergeCell ref="AB2:AD2"/>
    <mergeCell ref="BJ3:BK3"/>
    <mergeCell ref="S2:U2"/>
    <mergeCell ref="V2:X2"/>
    <mergeCell ref="Y2:AA2"/>
    <mergeCell ref="T3:U3"/>
    <mergeCell ref="S3:S4"/>
    <mergeCell ref="V3:V4"/>
    <mergeCell ref="Y3:Y4"/>
    <mergeCell ref="AB3:AB4"/>
    <mergeCell ref="AE3:AE4"/>
    <mergeCell ref="AH3:AH4"/>
    <mergeCell ref="AI3:AJ3"/>
    <mergeCell ref="AK3:AK4"/>
    <mergeCell ref="AZ2:BB2"/>
    <mergeCell ref="AN2:AP2"/>
    <mergeCell ref="A55:B55"/>
    <mergeCell ref="D3:D4"/>
    <mergeCell ref="G3:G4"/>
    <mergeCell ref="J3:J4"/>
    <mergeCell ref="J2:L2"/>
    <mergeCell ref="E3:F3"/>
    <mergeCell ref="K3:L3"/>
    <mergeCell ref="C2:C4"/>
    <mergeCell ref="D2:F2"/>
    <mergeCell ref="G2:I2"/>
    <mergeCell ref="B1:L1"/>
    <mergeCell ref="BX3:BX4"/>
    <mergeCell ref="BO3:BO4"/>
    <mergeCell ref="BP3:BQ3"/>
    <mergeCell ref="BR3:BR4"/>
    <mergeCell ref="BS3:BT3"/>
    <mergeCell ref="BU3:BU4"/>
    <mergeCell ref="BV3:BW3"/>
    <mergeCell ref="BF3:BF4"/>
    <mergeCell ref="BI3:BI4"/>
    <mergeCell ref="BL3:BL4"/>
    <mergeCell ref="BM3:BN3"/>
    <mergeCell ref="BG3:BH3"/>
    <mergeCell ref="B2:B4"/>
    <mergeCell ref="BF2:BH2"/>
    <mergeCell ref="BI2:BK2"/>
  </mergeCells>
  <pageMargins left="0.56000000000000005" right="0.22" top="0.23622047244094491" bottom="0.19685039370078741" header="0.23622047244094491" footer="0.15748031496062992"/>
  <pageSetup paperSize="9" scale="64" orientation="landscape" verticalDpi="0" r:id="rId1"/>
  <colBreaks count="3" manualBreakCount="3">
    <brk id="21" max="54" man="1"/>
    <brk id="42" max="54" man="1"/>
    <brk id="63" max="54" man="1"/>
  </col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S114"/>
  <sheetViews>
    <sheetView workbookViewId="0">
      <selection activeCell="C19" sqref="C19"/>
    </sheetView>
  </sheetViews>
  <sheetFormatPr defaultRowHeight="15"/>
  <cols>
    <col min="2" max="2" width="24.140625" customWidth="1"/>
    <col min="4" max="4" width="5.28515625" customWidth="1"/>
    <col min="5" max="5" width="6" customWidth="1"/>
    <col min="6" max="7" width="5.85546875" customWidth="1"/>
    <col min="8" max="8" width="6.7109375" customWidth="1"/>
    <col min="10" max="10" width="6.7109375" customWidth="1"/>
    <col min="11" max="11" width="6.85546875" customWidth="1"/>
    <col min="12" max="12" width="6.5703125" customWidth="1"/>
    <col min="13" max="13" width="7.7109375" customWidth="1"/>
    <col min="14" max="14" width="6.5703125" customWidth="1"/>
    <col min="15" max="15" width="7.28515625" customWidth="1"/>
    <col min="16" max="16" width="6.140625" customWidth="1"/>
    <col min="17" max="17" width="6" customWidth="1"/>
    <col min="18" max="18" width="6.5703125" customWidth="1"/>
    <col min="20" max="20" width="7" customWidth="1"/>
    <col min="21" max="21" width="6" customWidth="1"/>
    <col min="22" max="22" width="8.140625" customWidth="1"/>
    <col min="23" max="23" width="7.85546875" customWidth="1"/>
    <col min="24" max="24" width="5.42578125" customWidth="1"/>
    <col min="25" max="26" width="4.42578125" customWidth="1"/>
    <col min="27" max="27" width="6" customWidth="1"/>
    <col min="28" max="28" width="7.7109375" customWidth="1"/>
    <col min="29" max="29" width="5.7109375" customWidth="1"/>
    <col min="31" max="31" width="6.5703125" customWidth="1"/>
    <col min="32" max="32" width="5.42578125" customWidth="1"/>
    <col min="33" max="33" width="6.5703125" customWidth="1"/>
    <col min="34" max="34" width="6.28515625" customWidth="1"/>
    <col min="35" max="35" width="7.85546875" customWidth="1"/>
    <col min="36" max="36" width="5.5703125" customWidth="1"/>
    <col min="38" max="38" width="6.7109375" customWidth="1"/>
    <col min="39" max="39" width="5.5703125" customWidth="1"/>
    <col min="41" max="41" width="11.42578125" customWidth="1"/>
  </cols>
  <sheetData>
    <row r="1" spans="1:43" ht="114.75">
      <c r="A1" s="1355" t="s">
        <v>68</v>
      </c>
      <c r="B1" s="1355" t="s">
        <v>649</v>
      </c>
      <c r="C1" s="1355" t="s">
        <v>650</v>
      </c>
      <c r="D1" s="1354" t="s">
        <v>651</v>
      </c>
      <c r="E1" s="1354"/>
      <c r="F1" s="1354" t="s">
        <v>652</v>
      </c>
      <c r="G1" s="1354"/>
      <c r="H1" s="827" t="s">
        <v>409</v>
      </c>
      <c r="I1" s="828" t="s">
        <v>653</v>
      </c>
      <c r="J1" s="1349" t="s">
        <v>654</v>
      </c>
      <c r="K1" s="1353"/>
      <c r="L1" s="1349" t="s">
        <v>165</v>
      </c>
      <c r="M1" s="1353"/>
      <c r="N1" s="1354" t="s">
        <v>156</v>
      </c>
      <c r="O1" s="1354"/>
      <c r="P1" s="1354" t="s">
        <v>655</v>
      </c>
      <c r="Q1" s="1354"/>
      <c r="R1" s="1354" t="s">
        <v>561</v>
      </c>
      <c r="S1" s="1354"/>
      <c r="T1" s="1354"/>
      <c r="U1" s="829" t="s">
        <v>220</v>
      </c>
      <c r="V1" s="829" t="s">
        <v>656</v>
      </c>
      <c r="W1" s="829" t="s">
        <v>657</v>
      </c>
      <c r="X1" s="829" t="s">
        <v>154</v>
      </c>
      <c r="Y1" s="829" t="s">
        <v>658</v>
      </c>
      <c r="Z1" s="829" t="s">
        <v>659</v>
      </c>
      <c r="AA1" s="829" t="s">
        <v>660</v>
      </c>
      <c r="AB1" s="829" t="s">
        <v>661</v>
      </c>
      <c r="AC1" s="829" t="s">
        <v>662</v>
      </c>
      <c r="AD1" s="829" t="s">
        <v>663</v>
      </c>
      <c r="AE1" s="829" t="s">
        <v>664</v>
      </c>
      <c r="AF1" s="829" t="s">
        <v>665</v>
      </c>
      <c r="AG1" s="829" t="s">
        <v>666</v>
      </c>
      <c r="AH1" s="1348" t="s">
        <v>667</v>
      </c>
      <c r="AI1" s="1348" t="s">
        <v>668</v>
      </c>
      <c r="AJ1" s="1348" t="s">
        <v>669</v>
      </c>
      <c r="AK1" s="830" t="s">
        <v>670</v>
      </c>
      <c r="AL1" s="1349" t="s">
        <v>671</v>
      </c>
      <c r="AM1" s="1349"/>
      <c r="AN1" s="830" t="s">
        <v>672</v>
      </c>
      <c r="AO1" s="831" t="s">
        <v>673</v>
      </c>
      <c r="AP1" s="815" t="s">
        <v>674</v>
      </c>
      <c r="AQ1" s="1350" t="s">
        <v>675</v>
      </c>
    </row>
    <row r="2" spans="1:43" ht="95.25">
      <c r="A2" s="1355"/>
      <c r="B2" s="1355"/>
      <c r="C2" s="1355"/>
      <c r="D2" s="829" t="s">
        <v>676</v>
      </c>
      <c r="E2" s="829" t="s">
        <v>677</v>
      </c>
      <c r="F2" s="829" t="s">
        <v>676</v>
      </c>
      <c r="G2" s="829" t="s">
        <v>677</v>
      </c>
      <c r="H2" s="829" t="s">
        <v>678</v>
      </c>
      <c r="I2" s="829" t="s">
        <v>678</v>
      </c>
      <c r="J2" s="829" t="s">
        <v>676</v>
      </c>
      <c r="K2" s="829" t="s">
        <v>677</v>
      </c>
      <c r="L2" s="829" t="s">
        <v>676</v>
      </c>
      <c r="M2" s="829" t="s">
        <v>677</v>
      </c>
      <c r="N2" s="829" t="s">
        <v>679</v>
      </c>
      <c r="O2" s="829" t="s">
        <v>680</v>
      </c>
      <c r="P2" s="829" t="s">
        <v>681</v>
      </c>
      <c r="Q2" s="829" t="s">
        <v>682</v>
      </c>
      <c r="R2" s="832" t="s">
        <v>683</v>
      </c>
      <c r="S2" s="829" t="s">
        <v>684</v>
      </c>
      <c r="T2" s="829" t="s">
        <v>685</v>
      </c>
      <c r="U2" s="829" t="s">
        <v>678</v>
      </c>
      <c r="V2" s="829" t="s">
        <v>676</v>
      </c>
      <c r="W2" s="829" t="s">
        <v>686</v>
      </c>
      <c r="X2" s="829" t="s">
        <v>678</v>
      </c>
      <c r="Y2" s="829" t="s">
        <v>678</v>
      </c>
      <c r="Z2" s="829" t="s">
        <v>678</v>
      </c>
      <c r="AA2" s="829" t="s">
        <v>678</v>
      </c>
      <c r="AB2" s="829" t="s">
        <v>676</v>
      </c>
      <c r="AC2" s="829" t="s">
        <v>678</v>
      </c>
      <c r="AD2" s="829" t="s">
        <v>687</v>
      </c>
      <c r="AE2" s="829" t="s">
        <v>676</v>
      </c>
      <c r="AF2" s="829" t="s">
        <v>676</v>
      </c>
      <c r="AG2" s="829" t="s">
        <v>678</v>
      </c>
      <c r="AH2" s="1348"/>
      <c r="AI2" s="1348"/>
      <c r="AJ2" s="1348"/>
      <c r="AK2" s="829" t="s">
        <v>676</v>
      </c>
      <c r="AL2" s="829" t="s">
        <v>676</v>
      </c>
      <c r="AM2" s="829" t="s">
        <v>677</v>
      </c>
      <c r="AN2" s="829" t="s">
        <v>687</v>
      </c>
      <c r="AO2" s="829" t="s">
        <v>687</v>
      </c>
      <c r="AP2" s="829" t="s">
        <v>687</v>
      </c>
      <c r="AQ2" s="1350"/>
    </row>
    <row r="3" spans="1:43" ht="15.75">
      <c r="A3" s="833"/>
      <c r="B3" s="857" t="s">
        <v>611</v>
      </c>
      <c r="C3" s="834">
        <f>C4</f>
        <v>7977</v>
      </c>
      <c r="D3" s="834">
        <f t="shared" ref="D3:AO3" si="0">D4</f>
        <v>149</v>
      </c>
      <c r="E3" s="834">
        <f t="shared" si="0"/>
        <v>172</v>
      </c>
      <c r="F3" s="834">
        <f t="shared" si="0"/>
        <v>1152</v>
      </c>
      <c r="G3" s="834">
        <f t="shared" si="0"/>
        <v>1085</v>
      </c>
      <c r="H3" s="834">
        <f t="shared" si="0"/>
        <v>1</v>
      </c>
      <c r="I3" s="834">
        <f t="shared" si="0"/>
        <v>1</v>
      </c>
      <c r="J3" s="834">
        <f t="shared" si="0"/>
        <v>0</v>
      </c>
      <c r="K3" s="834">
        <f t="shared" si="0"/>
        <v>114</v>
      </c>
      <c r="L3" s="834">
        <f t="shared" si="0"/>
        <v>180</v>
      </c>
      <c r="M3" s="834">
        <f t="shared" si="0"/>
        <v>134</v>
      </c>
      <c r="N3" s="834">
        <f t="shared" si="0"/>
        <v>166</v>
      </c>
      <c r="O3" s="834">
        <f t="shared" si="0"/>
        <v>4363</v>
      </c>
      <c r="P3" s="834">
        <f t="shared" si="0"/>
        <v>0</v>
      </c>
      <c r="Q3" s="834">
        <f t="shared" si="0"/>
        <v>0</v>
      </c>
      <c r="R3" s="835">
        <f t="shared" si="0"/>
        <v>0</v>
      </c>
      <c r="S3" s="834">
        <f t="shared" si="0"/>
        <v>0</v>
      </c>
      <c r="T3" s="834">
        <f t="shared" si="0"/>
        <v>0</v>
      </c>
      <c r="U3" s="834">
        <f t="shared" si="0"/>
        <v>3</v>
      </c>
      <c r="V3" s="834">
        <f t="shared" si="0"/>
        <v>400</v>
      </c>
      <c r="W3" s="834">
        <f t="shared" si="0"/>
        <v>55900</v>
      </c>
      <c r="X3" s="834">
        <f t="shared" si="0"/>
        <v>3</v>
      </c>
      <c r="Y3" s="834">
        <f t="shared" si="0"/>
        <v>1</v>
      </c>
      <c r="Z3" s="834">
        <f t="shared" si="0"/>
        <v>1</v>
      </c>
      <c r="AA3" s="834">
        <f t="shared" si="0"/>
        <v>32</v>
      </c>
      <c r="AB3" s="834">
        <f t="shared" si="0"/>
        <v>65</v>
      </c>
      <c r="AC3" s="834">
        <f t="shared" si="0"/>
        <v>1</v>
      </c>
      <c r="AD3" s="834">
        <f t="shared" si="0"/>
        <v>1</v>
      </c>
      <c r="AE3" s="834">
        <f t="shared" si="0"/>
        <v>15</v>
      </c>
      <c r="AF3" s="834">
        <f t="shared" si="0"/>
        <v>0</v>
      </c>
      <c r="AG3" s="834">
        <f t="shared" si="0"/>
        <v>1</v>
      </c>
      <c r="AH3" s="834">
        <f t="shared" si="0"/>
        <v>1</v>
      </c>
      <c r="AI3" s="834">
        <f t="shared" si="0"/>
        <v>1</v>
      </c>
      <c r="AJ3" s="834">
        <f t="shared" si="0"/>
        <v>1</v>
      </c>
      <c r="AK3" s="834">
        <f t="shared" si="0"/>
        <v>0</v>
      </c>
      <c r="AL3" s="834">
        <f t="shared" si="0"/>
        <v>110</v>
      </c>
      <c r="AM3" s="834">
        <f t="shared" si="0"/>
        <v>110</v>
      </c>
      <c r="AN3" s="834">
        <f t="shared" si="0"/>
        <v>1</v>
      </c>
      <c r="AO3" s="834">
        <f t="shared" si="0"/>
        <v>0</v>
      </c>
    </row>
    <row r="4" spans="1:43" ht="15.75">
      <c r="A4" s="836">
        <v>1</v>
      </c>
      <c r="B4" s="858" t="s">
        <v>688</v>
      </c>
      <c r="C4" s="834">
        <v>7977</v>
      </c>
      <c r="D4" s="780">
        <v>149</v>
      </c>
      <c r="E4" s="780">
        <v>172</v>
      </c>
      <c r="F4" s="780">
        <v>1152</v>
      </c>
      <c r="G4" s="780">
        <v>1085</v>
      </c>
      <c r="H4" s="837">
        <v>1</v>
      </c>
      <c r="I4" s="780">
        <v>1</v>
      </c>
      <c r="J4" s="780"/>
      <c r="K4" s="780">
        <v>114</v>
      </c>
      <c r="L4" s="780">
        <v>180</v>
      </c>
      <c r="M4" s="780">
        <v>134</v>
      </c>
      <c r="N4" s="780">
        <v>166</v>
      </c>
      <c r="O4" s="780">
        <v>4363</v>
      </c>
      <c r="P4" s="780"/>
      <c r="Q4" s="780"/>
      <c r="R4" s="838"/>
      <c r="S4" s="780"/>
      <c r="T4" s="780"/>
      <c r="U4" s="780">
        <v>3</v>
      </c>
      <c r="V4" s="780">
        <v>400</v>
      </c>
      <c r="W4" s="780">
        <f>33690+22210</f>
        <v>55900</v>
      </c>
      <c r="X4" s="780">
        <v>3</v>
      </c>
      <c r="Y4" s="780">
        <v>1</v>
      </c>
      <c r="Z4" s="780">
        <v>1</v>
      </c>
      <c r="AA4" s="780">
        <v>32</v>
      </c>
      <c r="AB4" s="780">
        <v>65</v>
      </c>
      <c r="AC4" s="780">
        <v>1</v>
      </c>
      <c r="AD4" s="780">
        <v>1</v>
      </c>
      <c r="AE4" s="780">
        <v>15</v>
      </c>
      <c r="AF4" s="780"/>
      <c r="AG4" s="780">
        <v>1</v>
      </c>
      <c r="AH4" s="780">
        <v>1</v>
      </c>
      <c r="AI4" s="780">
        <v>1</v>
      </c>
      <c r="AJ4" s="780">
        <v>1</v>
      </c>
      <c r="AK4" s="780"/>
      <c r="AL4" s="780">
        <v>110</v>
      </c>
      <c r="AM4" s="780">
        <v>110</v>
      </c>
      <c r="AN4" s="780">
        <v>1</v>
      </c>
      <c r="AO4" s="780"/>
    </row>
    <row r="5" spans="1:43" ht="15.75">
      <c r="A5" s="836"/>
      <c r="B5" s="858" t="s">
        <v>689</v>
      </c>
      <c r="C5" s="834">
        <f t="shared" ref="C5:AO5" si="1">SUM(C6:C9)</f>
        <v>2008</v>
      </c>
      <c r="D5" s="834">
        <f t="shared" si="1"/>
        <v>100</v>
      </c>
      <c r="E5" s="834">
        <f t="shared" si="1"/>
        <v>16</v>
      </c>
      <c r="F5" s="834">
        <f t="shared" si="1"/>
        <v>320</v>
      </c>
      <c r="G5" s="834">
        <f t="shared" si="1"/>
        <v>234</v>
      </c>
      <c r="H5" s="834">
        <f t="shared" si="1"/>
        <v>0</v>
      </c>
      <c r="I5" s="834">
        <f t="shared" si="1"/>
        <v>0</v>
      </c>
      <c r="J5" s="834">
        <f t="shared" si="1"/>
        <v>0</v>
      </c>
      <c r="K5" s="834">
        <f t="shared" si="1"/>
        <v>0</v>
      </c>
      <c r="L5" s="834">
        <f t="shared" si="1"/>
        <v>0</v>
      </c>
      <c r="M5" s="834">
        <f t="shared" si="1"/>
        <v>0</v>
      </c>
      <c r="N5" s="834">
        <f t="shared" si="1"/>
        <v>0</v>
      </c>
      <c r="O5" s="834">
        <f t="shared" si="1"/>
        <v>13263</v>
      </c>
      <c r="P5" s="834">
        <f t="shared" si="1"/>
        <v>0</v>
      </c>
      <c r="Q5" s="834">
        <f t="shared" si="1"/>
        <v>0</v>
      </c>
      <c r="R5" s="838">
        <f t="shared" ref="R5:R52" si="2">T5/365</f>
        <v>6.1643835616438354</v>
      </c>
      <c r="S5" s="834">
        <f t="shared" si="1"/>
        <v>6</v>
      </c>
      <c r="T5" s="834">
        <f t="shared" si="1"/>
        <v>2250</v>
      </c>
      <c r="U5" s="834">
        <f t="shared" si="1"/>
        <v>1</v>
      </c>
      <c r="V5" s="834">
        <f t="shared" si="1"/>
        <v>330</v>
      </c>
      <c r="W5" s="834">
        <f t="shared" si="1"/>
        <v>16424</v>
      </c>
      <c r="X5" s="834">
        <f t="shared" si="1"/>
        <v>2</v>
      </c>
      <c r="Y5" s="834">
        <f t="shared" si="1"/>
        <v>0</v>
      </c>
      <c r="Z5" s="834">
        <f t="shared" si="1"/>
        <v>0</v>
      </c>
      <c r="AA5" s="834">
        <f t="shared" si="1"/>
        <v>16</v>
      </c>
      <c r="AB5" s="834">
        <f t="shared" si="1"/>
        <v>0</v>
      </c>
      <c r="AC5" s="834">
        <f t="shared" si="1"/>
        <v>1</v>
      </c>
      <c r="AD5" s="834">
        <f t="shared" si="1"/>
        <v>1</v>
      </c>
      <c r="AE5" s="834">
        <f t="shared" si="1"/>
        <v>0</v>
      </c>
      <c r="AF5" s="834">
        <f t="shared" si="1"/>
        <v>0</v>
      </c>
      <c r="AG5" s="834">
        <f t="shared" si="1"/>
        <v>1</v>
      </c>
      <c r="AH5" s="834">
        <f t="shared" si="1"/>
        <v>0</v>
      </c>
      <c r="AI5" s="834">
        <f t="shared" si="1"/>
        <v>1</v>
      </c>
      <c r="AJ5" s="834">
        <f t="shared" si="1"/>
        <v>1</v>
      </c>
      <c r="AK5" s="834">
        <f t="shared" si="1"/>
        <v>0</v>
      </c>
      <c r="AL5" s="834">
        <f t="shared" si="1"/>
        <v>0</v>
      </c>
      <c r="AM5" s="834">
        <f t="shared" si="1"/>
        <v>0</v>
      </c>
      <c r="AN5" s="834">
        <f t="shared" si="1"/>
        <v>0</v>
      </c>
      <c r="AO5" s="834">
        <f t="shared" si="1"/>
        <v>1</v>
      </c>
    </row>
    <row r="6" spans="1:43" ht="15.75">
      <c r="A6" s="836">
        <v>2</v>
      </c>
      <c r="B6" s="859" t="s">
        <v>690</v>
      </c>
      <c r="C6" s="836">
        <v>1786</v>
      </c>
      <c r="D6" s="780">
        <v>100</v>
      </c>
      <c r="E6" s="780">
        <v>16</v>
      </c>
      <c r="F6" s="780">
        <v>320</v>
      </c>
      <c r="G6" s="780">
        <v>234</v>
      </c>
      <c r="H6" s="780"/>
      <c r="I6" s="780"/>
      <c r="J6" s="780"/>
      <c r="K6" s="780"/>
      <c r="L6" s="780"/>
      <c r="M6" s="780"/>
      <c r="N6" s="780"/>
      <c r="O6" s="780">
        <v>13263</v>
      </c>
      <c r="P6" s="780"/>
      <c r="Q6" s="780"/>
      <c r="R6" s="838"/>
      <c r="S6" s="780"/>
      <c r="T6" s="780"/>
      <c r="U6" s="780">
        <v>1</v>
      </c>
      <c r="V6" s="780">
        <v>250</v>
      </c>
      <c r="W6" s="780">
        <v>16424</v>
      </c>
      <c r="X6" s="780">
        <v>2</v>
      </c>
      <c r="Y6" s="780"/>
      <c r="Z6" s="780"/>
      <c r="AA6" s="780">
        <v>16</v>
      </c>
      <c r="AB6" s="780"/>
      <c r="AC6" s="780">
        <v>1</v>
      </c>
      <c r="AD6" s="780">
        <v>1</v>
      </c>
      <c r="AE6" s="780"/>
      <c r="AF6" s="780"/>
      <c r="AG6" s="780">
        <v>1</v>
      </c>
      <c r="AH6" s="780"/>
      <c r="AI6" s="780">
        <v>1</v>
      </c>
      <c r="AJ6" s="780">
        <v>1</v>
      </c>
      <c r="AK6" s="780"/>
      <c r="AL6" s="780"/>
      <c r="AM6" s="780"/>
      <c r="AN6" s="780"/>
      <c r="AO6" s="780">
        <v>1</v>
      </c>
    </row>
    <row r="7" spans="1:43" ht="15.75">
      <c r="A7" s="836">
        <v>3</v>
      </c>
      <c r="B7" s="859" t="s">
        <v>691</v>
      </c>
      <c r="C7" s="836">
        <v>78</v>
      </c>
      <c r="D7" s="780"/>
      <c r="E7" s="780"/>
      <c r="F7" s="780"/>
      <c r="G7" s="780"/>
      <c r="H7" s="780"/>
      <c r="I7" s="780"/>
      <c r="J7" s="780"/>
      <c r="K7" s="780"/>
      <c r="L7" s="780"/>
      <c r="M7" s="780"/>
      <c r="N7" s="780"/>
      <c r="O7" s="780"/>
      <c r="P7" s="780"/>
      <c r="Q7" s="780"/>
      <c r="R7" s="838">
        <f t="shared" si="2"/>
        <v>6.1643835616438354</v>
      </c>
      <c r="S7" s="780">
        <v>5</v>
      </c>
      <c r="T7" s="780">
        <v>2250</v>
      </c>
      <c r="U7" s="780"/>
      <c r="V7" s="780">
        <v>60</v>
      </c>
      <c r="W7" s="780"/>
      <c r="X7" s="780"/>
      <c r="Y7" s="780"/>
      <c r="Z7" s="780"/>
      <c r="AA7" s="780"/>
      <c r="AB7" s="780"/>
      <c r="AC7" s="780"/>
      <c r="AD7" s="780"/>
      <c r="AE7" s="780"/>
      <c r="AF7" s="780"/>
      <c r="AG7" s="780"/>
      <c r="AH7" s="780"/>
      <c r="AI7" s="780"/>
      <c r="AJ7" s="780"/>
      <c r="AK7" s="780"/>
      <c r="AL7" s="780"/>
      <c r="AM7" s="780"/>
      <c r="AN7" s="780"/>
      <c r="AO7" s="780"/>
    </row>
    <row r="8" spans="1:43" ht="15.75">
      <c r="A8" s="836">
        <v>4</v>
      </c>
      <c r="B8" s="859" t="s">
        <v>692</v>
      </c>
      <c r="C8" s="836">
        <v>23</v>
      </c>
      <c r="D8" s="780"/>
      <c r="E8" s="780"/>
      <c r="F8" s="780"/>
      <c r="G8" s="780"/>
      <c r="H8" s="780"/>
      <c r="I8" s="780"/>
      <c r="J8" s="780"/>
      <c r="K8" s="780"/>
      <c r="L8" s="780"/>
      <c r="M8" s="780"/>
      <c r="N8" s="780"/>
      <c r="O8" s="780"/>
      <c r="P8" s="780"/>
      <c r="Q8" s="780"/>
      <c r="R8" s="838"/>
      <c r="S8" s="780"/>
      <c r="T8" s="780"/>
      <c r="U8" s="780"/>
      <c r="V8" s="780"/>
      <c r="W8" s="780"/>
      <c r="X8" s="780"/>
      <c r="Y8" s="780"/>
      <c r="Z8" s="780"/>
      <c r="AA8" s="780"/>
      <c r="AB8" s="780"/>
      <c r="AC8" s="780"/>
      <c r="AD8" s="780"/>
      <c r="AE8" s="780"/>
      <c r="AF8" s="780"/>
      <c r="AG8" s="780"/>
      <c r="AH8" s="780"/>
      <c r="AI8" s="780"/>
      <c r="AJ8" s="780"/>
      <c r="AK8" s="780"/>
      <c r="AL8" s="780"/>
      <c r="AM8" s="780"/>
      <c r="AN8" s="780"/>
      <c r="AO8" s="780"/>
    </row>
    <row r="9" spans="1:43" ht="15.75">
      <c r="A9" s="836">
        <v>5</v>
      </c>
      <c r="B9" s="859" t="s">
        <v>693</v>
      </c>
      <c r="C9" s="836">
        <v>121</v>
      </c>
      <c r="D9" s="780"/>
      <c r="E9" s="780"/>
      <c r="F9" s="780"/>
      <c r="G9" s="780"/>
      <c r="H9" s="780"/>
      <c r="I9" s="780"/>
      <c r="J9" s="780"/>
      <c r="K9" s="780"/>
      <c r="L9" s="780"/>
      <c r="M9" s="780"/>
      <c r="N9" s="780"/>
      <c r="O9" s="780"/>
      <c r="P9" s="780"/>
      <c r="Q9" s="780"/>
      <c r="R9" s="839">
        <f t="shared" si="2"/>
        <v>0</v>
      </c>
      <c r="S9" s="840">
        <v>1</v>
      </c>
      <c r="T9" s="840"/>
      <c r="U9" s="780"/>
      <c r="V9" s="780">
        <v>20</v>
      </c>
      <c r="W9" s="780"/>
      <c r="X9" s="780"/>
      <c r="Y9" s="780"/>
      <c r="Z9" s="780"/>
      <c r="AA9" s="780"/>
      <c r="AB9" s="780"/>
      <c r="AC9" s="780"/>
      <c r="AD9" s="780"/>
      <c r="AE9" s="780"/>
      <c r="AF9" s="780"/>
      <c r="AG9" s="780"/>
      <c r="AH9" s="780"/>
      <c r="AI9" s="780"/>
      <c r="AJ9" s="780"/>
      <c r="AK9" s="780"/>
      <c r="AL9" s="780"/>
      <c r="AM9" s="780"/>
      <c r="AN9" s="780"/>
      <c r="AO9" s="780"/>
    </row>
    <row r="10" spans="1:43" ht="15.75">
      <c r="A10" s="836"/>
      <c r="B10" s="858" t="s">
        <v>254</v>
      </c>
      <c r="C10" s="834">
        <f>SUM(C11:C12)</f>
        <v>509</v>
      </c>
      <c r="D10" s="834">
        <f t="shared" ref="D10:AO10" si="3">SUM(D11:D12)</f>
        <v>0</v>
      </c>
      <c r="E10" s="834">
        <f t="shared" si="3"/>
        <v>0</v>
      </c>
      <c r="F10" s="834">
        <f t="shared" si="3"/>
        <v>30</v>
      </c>
      <c r="G10" s="834">
        <f t="shared" si="3"/>
        <v>14</v>
      </c>
      <c r="H10" s="834">
        <f t="shared" si="3"/>
        <v>0</v>
      </c>
      <c r="I10" s="834">
        <f t="shared" si="3"/>
        <v>0</v>
      </c>
      <c r="J10" s="834">
        <f t="shared" si="3"/>
        <v>0</v>
      </c>
      <c r="K10" s="834">
        <f t="shared" si="3"/>
        <v>0</v>
      </c>
      <c r="L10" s="834">
        <f t="shared" si="3"/>
        <v>0</v>
      </c>
      <c r="M10" s="834">
        <f t="shared" si="3"/>
        <v>0</v>
      </c>
      <c r="N10" s="834">
        <f t="shared" si="3"/>
        <v>0</v>
      </c>
      <c r="O10" s="834">
        <f t="shared" si="3"/>
        <v>0</v>
      </c>
      <c r="P10" s="834">
        <f t="shared" si="3"/>
        <v>0</v>
      </c>
      <c r="Q10" s="834">
        <f t="shared" si="3"/>
        <v>0</v>
      </c>
      <c r="R10" s="841">
        <f t="shared" si="2"/>
        <v>0.38356164383561642</v>
      </c>
      <c r="S10" s="834">
        <f t="shared" si="3"/>
        <v>20</v>
      </c>
      <c r="T10" s="834">
        <f t="shared" si="3"/>
        <v>140</v>
      </c>
      <c r="U10" s="834">
        <f t="shared" si="3"/>
        <v>0</v>
      </c>
      <c r="V10" s="834">
        <f t="shared" si="3"/>
        <v>220</v>
      </c>
      <c r="W10" s="834">
        <f t="shared" si="3"/>
        <v>8786</v>
      </c>
      <c r="X10" s="834">
        <f t="shared" si="3"/>
        <v>0</v>
      </c>
      <c r="Y10" s="834">
        <f t="shared" si="3"/>
        <v>0</v>
      </c>
      <c r="Z10" s="834">
        <f t="shared" si="3"/>
        <v>0</v>
      </c>
      <c r="AA10" s="834">
        <f t="shared" si="3"/>
        <v>0</v>
      </c>
      <c r="AB10" s="834">
        <f t="shared" si="3"/>
        <v>0</v>
      </c>
      <c r="AC10" s="834">
        <f t="shared" si="3"/>
        <v>0</v>
      </c>
      <c r="AD10" s="834">
        <f t="shared" si="3"/>
        <v>0</v>
      </c>
      <c r="AE10" s="834">
        <f t="shared" si="3"/>
        <v>0</v>
      </c>
      <c r="AF10" s="834">
        <f t="shared" si="3"/>
        <v>0</v>
      </c>
      <c r="AG10" s="834">
        <f t="shared" si="3"/>
        <v>0</v>
      </c>
      <c r="AH10" s="834">
        <f t="shared" si="3"/>
        <v>0</v>
      </c>
      <c r="AI10" s="834">
        <f t="shared" si="3"/>
        <v>1</v>
      </c>
      <c r="AJ10" s="834">
        <f t="shared" si="3"/>
        <v>0</v>
      </c>
      <c r="AK10" s="834">
        <f t="shared" si="3"/>
        <v>0</v>
      </c>
      <c r="AL10" s="834">
        <f t="shared" si="3"/>
        <v>0</v>
      </c>
      <c r="AM10" s="834">
        <f t="shared" si="3"/>
        <v>0</v>
      </c>
      <c r="AN10" s="834">
        <f t="shared" si="3"/>
        <v>0</v>
      </c>
      <c r="AO10" s="834">
        <f t="shared" si="3"/>
        <v>0</v>
      </c>
    </row>
    <row r="11" spans="1:43" ht="15.75">
      <c r="A11" s="836">
        <v>6</v>
      </c>
      <c r="B11" s="859" t="s">
        <v>694</v>
      </c>
      <c r="C11" s="836">
        <v>232</v>
      </c>
      <c r="D11" s="780"/>
      <c r="E11" s="780"/>
      <c r="F11" s="780">
        <v>30</v>
      </c>
      <c r="G11" s="780">
        <v>14</v>
      </c>
      <c r="H11" s="780"/>
      <c r="I11" s="780"/>
      <c r="J11" s="780"/>
      <c r="K11" s="780"/>
      <c r="L11" s="780"/>
      <c r="M11" s="780"/>
      <c r="N11" s="780"/>
      <c r="O11" s="780"/>
      <c r="P11" s="780"/>
      <c r="Q11" s="780"/>
      <c r="R11" s="842">
        <f t="shared" si="2"/>
        <v>0.38356164383561642</v>
      </c>
      <c r="S11" s="780">
        <v>20</v>
      </c>
      <c r="T11" s="780">
        <v>140</v>
      </c>
      <c r="U11" s="780"/>
      <c r="V11" s="780">
        <v>20</v>
      </c>
      <c r="W11" s="780">
        <v>3424</v>
      </c>
      <c r="X11" s="780"/>
      <c r="Y11" s="780"/>
      <c r="Z11" s="780"/>
      <c r="AA11" s="780"/>
      <c r="AB11" s="780"/>
      <c r="AC11" s="780"/>
      <c r="AD11" s="780"/>
      <c r="AE11" s="780"/>
      <c r="AF11" s="780"/>
      <c r="AG11" s="780"/>
      <c r="AH11" s="780"/>
      <c r="AI11" s="780">
        <v>1</v>
      </c>
      <c r="AJ11" s="780"/>
      <c r="AK11" s="780"/>
      <c r="AL11" s="780"/>
      <c r="AM11" s="780"/>
      <c r="AN11" s="780"/>
      <c r="AO11" s="780"/>
    </row>
    <row r="12" spans="1:43" ht="15.75">
      <c r="A12" s="836">
        <v>4</v>
      </c>
      <c r="B12" s="859" t="s">
        <v>618</v>
      </c>
      <c r="C12" s="836">
        <v>277</v>
      </c>
      <c r="D12" s="780"/>
      <c r="E12" s="780"/>
      <c r="F12" s="780"/>
      <c r="G12" s="780"/>
      <c r="H12" s="780"/>
      <c r="I12" s="780"/>
      <c r="J12" s="780"/>
      <c r="K12" s="780"/>
      <c r="L12" s="780"/>
      <c r="M12" s="780"/>
      <c r="N12" s="780"/>
      <c r="O12" s="780"/>
      <c r="P12" s="780"/>
      <c r="Q12" s="780"/>
      <c r="R12" s="838"/>
      <c r="S12" s="780"/>
      <c r="T12" s="780"/>
      <c r="U12" s="780"/>
      <c r="V12" s="780">
        <v>200</v>
      </c>
      <c r="W12" s="780">
        <v>5362</v>
      </c>
      <c r="X12" s="780"/>
      <c r="Y12" s="780"/>
      <c r="Z12" s="780"/>
      <c r="AA12" s="780"/>
      <c r="AB12" s="780"/>
      <c r="AC12" s="780"/>
      <c r="AD12" s="780"/>
      <c r="AE12" s="780"/>
      <c r="AF12" s="780"/>
      <c r="AG12" s="780"/>
      <c r="AH12" s="780"/>
      <c r="AI12" s="780"/>
      <c r="AJ12" s="780"/>
      <c r="AK12" s="780"/>
      <c r="AL12" s="780"/>
      <c r="AM12" s="780"/>
      <c r="AN12" s="780"/>
      <c r="AO12" s="780"/>
    </row>
    <row r="13" spans="1:43" ht="15.75">
      <c r="A13" s="836"/>
      <c r="B13" s="860" t="s">
        <v>257</v>
      </c>
      <c r="C13" s="834">
        <f>SUM(C14:C16)</f>
        <v>1232</v>
      </c>
      <c r="D13" s="834">
        <f t="shared" ref="D13:AO13" si="4">SUM(D14:D16)</f>
        <v>0</v>
      </c>
      <c r="E13" s="834">
        <f t="shared" si="4"/>
        <v>0</v>
      </c>
      <c r="F13" s="834">
        <f t="shared" si="4"/>
        <v>440</v>
      </c>
      <c r="G13" s="834">
        <f t="shared" si="4"/>
        <v>123</v>
      </c>
      <c r="H13" s="834">
        <f t="shared" si="4"/>
        <v>0</v>
      </c>
      <c r="I13" s="834">
        <f t="shared" si="4"/>
        <v>0</v>
      </c>
      <c r="J13" s="834">
        <f t="shared" si="4"/>
        <v>0</v>
      </c>
      <c r="K13" s="834">
        <f t="shared" si="4"/>
        <v>0</v>
      </c>
      <c r="L13" s="834">
        <f t="shared" si="4"/>
        <v>0</v>
      </c>
      <c r="M13" s="834">
        <f t="shared" si="4"/>
        <v>0</v>
      </c>
      <c r="N13" s="834">
        <f t="shared" si="4"/>
        <v>0</v>
      </c>
      <c r="O13" s="834">
        <f t="shared" si="4"/>
        <v>0</v>
      </c>
      <c r="P13" s="834">
        <f t="shared" si="4"/>
        <v>3342</v>
      </c>
      <c r="Q13" s="834">
        <f t="shared" si="4"/>
        <v>36</v>
      </c>
      <c r="R13" s="838">
        <f t="shared" si="2"/>
        <v>12.328767123287671</v>
      </c>
      <c r="S13" s="834">
        <f t="shared" si="4"/>
        <v>2.5</v>
      </c>
      <c r="T13" s="834">
        <f t="shared" si="4"/>
        <v>4500</v>
      </c>
      <c r="U13" s="834">
        <f t="shared" si="4"/>
        <v>1</v>
      </c>
      <c r="V13" s="834">
        <f t="shared" si="4"/>
        <v>100</v>
      </c>
      <c r="W13" s="834">
        <f t="shared" si="4"/>
        <v>7877</v>
      </c>
      <c r="X13" s="834">
        <f t="shared" si="4"/>
        <v>2</v>
      </c>
      <c r="Y13" s="834">
        <f t="shared" si="4"/>
        <v>0</v>
      </c>
      <c r="Z13" s="834">
        <f t="shared" si="4"/>
        <v>0</v>
      </c>
      <c r="AA13" s="834">
        <f t="shared" si="4"/>
        <v>7</v>
      </c>
      <c r="AB13" s="834">
        <f t="shared" si="4"/>
        <v>0</v>
      </c>
      <c r="AC13" s="834">
        <f t="shared" si="4"/>
        <v>1</v>
      </c>
      <c r="AD13" s="834">
        <f t="shared" si="4"/>
        <v>1</v>
      </c>
      <c r="AE13" s="834">
        <f t="shared" si="4"/>
        <v>0</v>
      </c>
      <c r="AF13" s="834">
        <f t="shared" si="4"/>
        <v>0</v>
      </c>
      <c r="AG13" s="834">
        <f t="shared" si="4"/>
        <v>0</v>
      </c>
      <c r="AH13" s="834">
        <f t="shared" si="4"/>
        <v>0</v>
      </c>
      <c r="AI13" s="834">
        <f t="shared" si="4"/>
        <v>1</v>
      </c>
      <c r="AJ13" s="834">
        <f t="shared" si="4"/>
        <v>0</v>
      </c>
      <c r="AK13" s="834">
        <f t="shared" si="4"/>
        <v>0</v>
      </c>
      <c r="AL13" s="834">
        <f t="shared" si="4"/>
        <v>0</v>
      </c>
      <c r="AM13" s="834">
        <f t="shared" si="4"/>
        <v>0</v>
      </c>
      <c r="AN13" s="834">
        <f t="shared" si="4"/>
        <v>0</v>
      </c>
      <c r="AO13" s="834">
        <f t="shared" si="4"/>
        <v>0</v>
      </c>
    </row>
    <row r="14" spans="1:43" ht="15.75">
      <c r="A14" s="836">
        <v>5</v>
      </c>
      <c r="B14" s="859" t="s">
        <v>598</v>
      </c>
      <c r="C14" s="836">
        <v>766</v>
      </c>
      <c r="D14" s="780"/>
      <c r="E14" s="780"/>
      <c r="F14" s="780">
        <v>170</v>
      </c>
      <c r="G14" s="780">
        <v>73</v>
      </c>
      <c r="H14" s="780"/>
      <c r="I14" s="780"/>
      <c r="J14" s="780"/>
      <c r="K14" s="780"/>
      <c r="L14" s="780"/>
      <c r="M14" s="780"/>
      <c r="N14" s="780"/>
      <c r="O14" s="780"/>
      <c r="P14" s="780">
        <v>3342</v>
      </c>
      <c r="Q14" s="780">
        <v>36</v>
      </c>
      <c r="R14" s="838"/>
      <c r="S14" s="780"/>
      <c r="T14" s="780"/>
      <c r="U14" s="780">
        <v>1</v>
      </c>
      <c r="V14" s="780">
        <v>100</v>
      </c>
      <c r="W14" s="780">
        <v>4897</v>
      </c>
      <c r="X14" s="780">
        <v>1</v>
      </c>
      <c r="Y14" s="780"/>
      <c r="Z14" s="780"/>
      <c r="AA14" s="780">
        <v>4</v>
      </c>
      <c r="AB14" s="780"/>
      <c r="AC14" s="780">
        <v>1</v>
      </c>
      <c r="AD14" s="780">
        <v>1</v>
      </c>
      <c r="AE14" s="780"/>
      <c r="AF14" s="780"/>
      <c r="AG14" s="780"/>
      <c r="AH14" s="780"/>
      <c r="AI14" s="780">
        <v>1</v>
      </c>
      <c r="AJ14" s="780"/>
      <c r="AK14" s="780"/>
      <c r="AL14" s="780"/>
      <c r="AM14" s="780"/>
      <c r="AN14" s="780"/>
      <c r="AO14" s="780"/>
    </row>
    <row r="15" spans="1:43" ht="15.75">
      <c r="A15" s="836">
        <v>6</v>
      </c>
      <c r="B15" s="859" t="s">
        <v>695</v>
      </c>
      <c r="C15" s="836">
        <v>114</v>
      </c>
      <c r="D15" s="780"/>
      <c r="E15" s="780"/>
      <c r="F15" s="780"/>
      <c r="G15" s="780"/>
      <c r="H15" s="780"/>
      <c r="I15" s="780"/>
      <c r="J15" s="780"/>
      <c r="K15" s="780"/>
      <c r="L15" s="780"/>
      <c r="M15" s="780"/>
      <c r="N15" s="780"/>
      <c r="O15" s="780"/>
      <c r="P15" s="780"/>
      <c r="Q15" s="780"/>
      <c r="R15" s="838"/>
      <c r="S15" s="780"/>
      <c r="T15" s="780"/>
      <c r="U15" s="780"/>
      <c r="V15" s="780"/>
      <c r="W15" s="780"/>
      <c r="X15" s="780"/>
      <c r="Y15" s="780"/>
      <c r="Z15" s="780"/>
      <c r="AA15" s="780"/>
      <c r="AB15" s="780"/>
      <c r="AC15" s="780"/>
      <c r="AD15" s="780"/>
      <c r="AE15" s="780"/>
      <c r="AF15" s="780"/>
      <c r="AG15" s="780"/>
      <c r="AH15" s="780"/>
      <c r="AI15" s="780"/>
      <c r="AJ15" s="780"/>
      <c r="AK15" s="780"/>
      <c r="AL15" s="780"/>
      <c r="AM15" s="780"/>
      <c r="AN15" s="780"/>
      <c r="AO15" s="780"/>
    </row>
    <row r="16" spans="1:43" ht="15.75">
      <c r="A16" s="836">
        <v>7</v>
      </c>
      <c r="B16" s="859" t="s">
        <v>696</v>
      </c>
      <c r="C16" s="836">
        <v>352</v>
      </c>
      <c r="D16" s="780"/>
      <c r="E16" s="780"/>
      <c r="F16" s="780">
        <v>270</v>
      </c>
      <c r="G16" s="780">
        <v>50</v>
      </c>
      <c r="H16" s="780"/>
      <c r="I16" s="780"/>
      <c r="J16" s="780"/>
      <c r="K16" s="780"/>
      <c r="L16" s="780"/>
      <c r="M16" s="780"/>
      <c r="N16" s="780"/>
      <c r="O16" s="780"/>
      <c r="P16" s="780"/>
      <c r="Q16" s="780"/>
      <c r="R16" s="838">
        <f t="shared" si="2"/>
        <v>12.328767123287671</v>
      </c>
      <c r="S16" s="780">
        <v>2.5</v>
      </c>
      <c r="T16" s="780">
        <v>4500</v>
      </c>
      <c r="U16" s="780"/>
      <c r="V16" s="780"/>
      <c r="W16" s="780">
        <v>2980</v>
      </c>
      <c r="X16" s="780">
        <v>1</v>
      </c>
      <c r="Y16" s="780"/>
      <c r="Z16" s="780"/>
      <c r="AA16" s="780">
        <v>3</v>
      </c>
      <c r="AB16" s="780"/>
      <c r="AC16" s="780"/>
      <c r="AD16" s="780"/>
      <c r="AE16" s="780"/>
      <c r="AF16" s="780"/>
      <c r="AG16" s="780"/>
      <c r="AH16" s="780"/>
      <c r="AI16" s="780"/>
      <c r="AJ16" s="780"/>
      <c r="AK16" s="780"/>
      <c r="AL16" s="780"/>
      <c r="AM16" s="780"/>
      <c r="AN16" s="780"/>
      <c r="AO16" s="780"/>
    </row>
    <row r="17" spans="1:41" ht="15.75">
      <c r="A17" s="836"/>
      <c r="B17" s="858" t="s">
        <v>261</v>
      </c>
      <c r="C17" s="834">
        <f>SUM(C18:C19)</f>
        <v>781</v>
      </c>
      <c r="D17" s="834">
        <f t="shared" ref="D17:AO17" si="5">SUM(D18:D19)</f>
        <v>0</v>
      </c>
      <c r="E17" s="834">
        <f t="shared" si="5"/>
        <v>0</v>
      </c>
      <c r="F17" s="834">
        <f t="shared" si="5"/>
        <v>200</v>
      </c>
      <c r="G17" s="834">
        <f t="shared" si="5"/>
        <v>111</v>
      </c>
      <c r="H17" s="834">
        <f t="shared" si="5"/>
        <v>0</v>
      </c>
      <c r="I17" s="834">
        <f t="shared" si="5"/>
        <v>0</v>
      </c>
      <c r="J17" s="834">
        <f t="shared" si="5"/>
        <v>0</v>
      </c>
      <c r="K17" s="834">
        <f t="shared" si="5"/>
        <v>0</v>
      </c>
      <c r="L17" s="834">
        <f t="shared" si="5"/>
        <v>0</v>
      </c>
      <c r="M17" s="834">
        <f t="shared" si="5"/>
        <v>0</v>
      </c>
      <c r="N17" s="834">
        <f t="shared" si="5"/>
        <v>0</v>
      </c>
      <c r="O17" s="834">
        <f t="shared" si="5"/>
        <v>0</v>
      </c>
      <c r="P17" s="834">
        <f t="shared" si="5"/>
        <v>0</v>
      </c>
      <c r="Q17" s="834">
        <f t="shared" si="5"/>
        <v>0</v>
      </c>
      <c r="R17" s="838">
        <f t="shared" si="2"/>
        <v>31.049315068493151</v>
      </c>
      <c r="S17" s="834">
        <f t="shared" si="5"/>
        <v>18</v>
      </c>
      <c r="T17" s="834">
        <f t="shared" si="5"/>
        <v>11333</v>
      </c>
      <c r="U17" s="834">
        <f t="shared" si="5"/>
        <v>0</v>
      </c>
      <c r="V17" s="834">
        <f t="shared" si="5"/>
        <v>120</v>
      </c>
      <c r="W17" s="834">
        <f t="shared" si="5"/>
        <v>17509</v>
      </c>
      <c r="X17" s="834">
        <f t="shared" si="5"/>
        <v>1</v>
      </c>
      <c r="Y17" s="834">
        <f t="shared" si="5"/>
        <v>0</v>
      </c>
      <c r="Z17" s="834">
        <f t="shared" si="5"/>
        <v>0</v>
      </c>
      <c r="AA17" s="834">
        <f t="shared" si="5"/>
        <v>5</v>
      </c>
      <c r="AB17" s="834">
        <f t="shared" si="5"/>
        <v>0</v>
      </c>
      <c r="AC17" s="834">
        <f t="shared" si="5"/>
        <v>2</v>
      </c>
      <c r="AD17" s="834">
        <f t="shared" si="5"/>
        <v>2</v>
      </c>
      <c r="AE17" s="834">
        <f t="shared" si="5"/>
        <v>0</v>
      </c>
      <c r="AF17" s="834">
        <f t="shared" si="5"/>
        <v>0</v>
      </c>
      <c r="AG17" s="834">
        <f t="shared" si="5"/>
        <v>0</v>
      </c>
      <c r="AH17" s="834">
        <f t="shared" si="5"/>
        <v>0</v>
      </c>
      <c r="AI17" s="834">
        <f t="shared" si="5"/>
        <v>1</v>
      </c>
      <c r="AJ17" s="834">
        <f t="shared" si="5"/>
        <v>0</v>
      </c>
      <c r="AK17" s="834">
        <f t="shared" si="5"/>
        <v>0</v>
      </c>
      <c r="AL17" s="834">
        <f t="shared" si="5"/>
        <v>0</v>
      </c>
      <c r="AM17" s="834">
        <f t="shared" si="5"/>
        <v>0</v>
      </c>
      <c r="AN17" s="834">
        <f t="shared" si="5"/>
        <v>0</v>
      </c>
      <c r="AO17" s="834">
        <f t="shared" si="5"/>
        <v>0</v>
      </c>
    </row>
    <row r="18" spans="1:41" ht="15.75">
      <c r="A18" s="836">
        <v>8</v>
      </c>
      <c r="B18" s="859" t="s">
        <v>697</v>
      </c>
      <c r="C18" s="836">
        <v>603</v>
      </c>
      <c r="D18" s="780"/>
      <c r="E18" s="780"/>
      <c r="F18" s="780">
        <v>200</v>
      </c>
      <c r="G18" s="780">
        <v>111</v>
      </c>
      <c r="H18" s="780"/>
      <c r="I18" s="780"/>
      <c r="J18" s="780"/>
      <c r="K18" s="780"/>
      <c r="L18" s="780"/>
      <c r="M18" s="780"/>
      <c r="N18" s="780"/>
      <c r="O18" s="780"/>
      <c r="P18" s="780"/>
      <c r="Q18" s="780"/>
      <c r="R18" s="838">
        <f t="shared" si="2"/>
        <v>22.246575342465754</v>
      </c>
      <c r="S18" s="780">
        <v>7</v>
      </c>
      <c r="T18" s="780">
        <v>8120</v>
      </c>
      <c r="U18" s="780"/>
      <c r="V18" s="780">
        <v>120</v>
      </c>
      <c r="W18" s="780">
        <v>10320</v>
      </c>
      <c r="X18" s="780">
        <v>1</v>
      </c>
      <c r="Y18" s="780"/>
      <c r="Z18" s="780"/>
      <c r="AA18" s="780">
        <v>3</v>
      </c>
      <c r="AB18" s="780"/>
      <c r="AC18" s="780">
        <v>1</v>
      </c>
      <c r="AD18" s="780">
        <v>1</v>
      </c>
      <c r="AE18" s="780"/>
      <c r="AF18" s="780"/>
      <c r="AG18" s="780"/>
      <c r="AH18" s="780"/>
      <c r="AI18" s="780">
        <v>1</v>
      </c>
      <c r="AJ18" s="780"/>
      <c r="AK18" s="780"/>
      <c r="AL18" s="780"/>
      <c r="AM18" s="780"/>
      <c r="AN18" s="780"/>
      <c r="AO18" s="780"/>
    </row>
    <row r="19" spans="1:41" ht="15.75">
      <c r="A19" s="836">
        <v>9</v>
      </c>
      <c r="B19" s="859" t="s">
        <v>698</v>
      </c>
      <c r="C19" s="836">
        <v>178</v>
      </c>
      <c r="D19" s="780"/>
      <c r="E19" s="780"/>
      <c r="F19" s="780"/>
      <c r="G19" s="780"/>
      <c r="H19" s="780"/>
      <c r="I19" s="780"/>
      <c r="J19" s="780"/>
      <c r="K19" s="780"/>
      <c r="L19" s="780"/>
      <c r="M19" s="780"/>
      <c r="N19" s="780"/>
      <c r="O19" s="780"/>
      <c r="P19" s="780"/>
      <c r="Q19" s="780"/>
      <c r="R19" s="838">
        <f t="shared" si="2"/>
        <v>8.8027397260273972</v>
      </c>
      <c r="S19" s="780">
        <v>11</v>
      </c>
      <c r="T19" s="780">
        <v>3213</v>
      </c>
      <c r="U19" s="780"/>
      <c r="V19" s="780"/>
      <c r="W19" s="780">
        <v>7189</v>
      </c>
      <c r="X19" s="780"/>
      <c r="Y19" s="780"/>
      <c r="Z19" s="780"/>
      <c r="AA19" s="780">
        <v>2</v>
      </c>
      <c r="AB19" s="780"/>
      <c r="AC19" s="780">
        <v>1</v>
      </c>
      <c r="AD19" s="780">
        <v>1</v>
      </c>
      <c r="AE19" s="780"/>
      <c r="AF19" s="780"/>
      <c r="AG19" s="780"/>
      <c r="AH19" s="780"/>
      <c r="AI19" s="780"/>
      <c r="AJ19" s="780"/>
      <c r="AK19" s="780"/>
      <c r="AL19" s="780"/>
      <c r="AM19" s="780"/>
      <c r="AN19" s="780"/>
      <c r="AO19" s="780"/>
    </row>
    <row r="20" spans="1:41" ht="15.75">
      <c r="A20" s="836"/>
      <c r="B20" s="858" t="s">
        <v>264</v>
      </c>
      <c r="C20" s="834">
        <f>SUM(C21:C22)</f>
        <v>427</v>
      </c>
      <c r="D20" s="834">
        <f t="shared" ref="D20:AO20" si="6">SUM(D21:D22)</f>
        <v>0</v>
      </c>
      <c r="E20" s="834">
        <f t="shared" si="6"/>
        <v>0</v>
      </c>
      <c r="F20" s="834">
        <f t="shared" si="6"/>
        <v>192</v>
      </c>
      <c r="G20" s="834">
        <f t="shared" si="6"/>
        <v>46</v>
      </c>
      <c r="H20" s="834">
        <f t="shared" si="6"/>
        <v>0</v>
      </c>
      <c r="I20" s="834">
        <f t="shared" si="6"/>
        <v>0</v>
      </c>
      <c r="J20" s="834">
        <f t="shared" si="6"/>
        <v>0</v>
      </c>
      <c r="K20" s="834">
        <f t="shared" si="6"/>
        <v>0</v>
      </c>
      <c r="L20" s="834">
        <f t="shared" si="6"/>
        <v>0</v>
      </c>
      <c r="M20" s="834">
        <f t="shared" si="6"/>
        <v>0</v>
      </c>
      <c r="N20" s="834">
        <f t="shared" si="6"/>
        <v>0</v>
      </c>
      <c r="O20" s="834">
        <f t="shared" si="6"/>
        <v>0</v>
      </c>
      <c r="P20" s="834">
        <f t="shared" si="6"/>
        <v>0</v>
      </c>
      <c r="Q20" s="834">
        <f t="shared" si="6"/>
        <v>0</v>
      </c>
      <c r="R20" s="838">
        <f t="shared" si="2"/>
        <v>12.328767123287671</v>
      </c>
      <c r="S20" s="834">
        <f t="shared" si="6"/>
        <v>3</v>
      </c>
      <c r="T20" s="834">
        <f t="shared" si="6"/>
        <v>4500</v>
      </c>
      <c r="U20" s="834">
        <f t="shared" si="6"/>
        <v>0</v>
      </c>
      <c r="V20" s="834">
        <f t="shared" si="6"/>
        <v>160</v>
      </c>
      <c r="W20" s="834">
        <f t="shared" si="6"/>
        <v>12148</v>
      </c>
      <c r="X20" s="834">
        <f t="shared" si="6"/>
        <v>1</v>
      </c>
      <c r="Y20" s="834">
        <f t="shared" si="6"/>
        <v>1</v>
      </c>
      <c r="Z20" s="834">
        <f t="shared" si="6"/>
        <v>0</v>
      </c>
      <c r="AA20" s="834">
        <f t="shared" si="6"/>
        <v>5</v>
      </c>
      <c r="AB20" s="834">
        <f t="shared" si="6"/>
        <v>0</v>
      </c>
      <c r="AC20" s="834">
        <f t="shared" si="6"/>
        <v>1</v>
      </c>
      <c r="AD20" s="834">
        <f t="shared" si="6"/>
        <v>0</v>
      </c>
      <c r="AE20" s="834">
        <f t="shared" si="6"/>
        <v>0</v>
      </c>
      <c r="AF20" s="834">
        <f t="shared" si="6"/>
        <v>0</v>
      </c>
      <c r="AG20" s="834">
        <f t="shared" si="6"/>
        <v>0</v>
      </c>
      <c r="AH20" s="834">
        <f t="shared" si="6"/>
        <v>0</v>
      </c>
      <c r="AI20" s="834">
        <f t="shared" si="6"/>
        <v>1</v>
      </c>
      <c r="AJ20" s="834">
        <f t="shared" si="6"/>
        <v>0</v>
      </c>
      <c r="AK20" s="834">
        <f t="shared" si="6"/>
        <v>0</v>
      </c>
      <c r="AL20" s="834">
        <f t="shared" si="6"/>
        <v>0</v>
      </c>
      <c r="AM20" s="834">
        <f t="shared" si="6"/>
        <v>0</v>
      </c>
      <c r="AN20" s="834">
        <f t="shared" si="6"/>
        <v>0</v>
      </c>
      <c r="AO20" s="834">
        <f t="shared" si="6"/>
        <v>0</v>
      </c>
    </row>
    <row r="21" spans="1:41" ht="15.75">
      <c r="A21" s="836">
        <v>10</v>
      </c>
      <c r="B21" s="859" t="s">
        <v>619</v>
      </c>
      <c r="C21" s="836">
        <v>327</v>
      </c>
      <c r="D21" s="780"/>
      <c r="E21" s="780"/>
      <c r="F21" s="780">
        <v>192</v>
      </c>
      <c r="G21" s="780">
        <v>46</v>
      </c>
      <c r="H21" s="780"/>
      <c r="I21" s="780"/>
      <c r="J21" s="780"/>
      <c r="K21" s="780"/>
      <c r="L21" s="780"/>
      <c r="M21" s="780"/>
      <c r="N21" s="780"/>
      <c r="O21" s="780"/>
      <c r="P21" s="780"/>
      <c r="Q21" s="780"/>
      <c r="R21" s="838">
        <f t="shared" si="2"/>
        <v>12.328767123287671</v>
      </c>
      <c r="S21" s="780">
        <v>3</v>
      </c>
      <c r="T21" s="780">
        <v>4500</v>
      </c>
      <c r="U21" s="780"/>
      <c r="V21" s="780">
        <v>60</v>
      </c>
      <c r="W21" s="780">
        <v>4738</v>
      </c>
      <c r="X21" s="780">
        <v>1</v>
      </c>
      <c r="Y21" s="780">
        <v>1</v>
      </c>
      <c r="Z21" s="780"/>
      <c r="AA21" s="780">
        <v>3</v>
      </c>
      <c r="AB21" s="780"/>
      <c r="AC21" s="780">
        <v>1</v>
      </c>
      <c r="AD21" s="780"/>
      <c r="AE21" s="780"/>
      <c r="AF21" s="780"/>
      <c r="AG21" s="780"/>
      <c r="AH21" s="780"/>
      <c r="AI21" s="780">
        <v>1</v>
      </c>
      <c r="AJ21" s="780"/>
      <c r="AK21" s="780"/>
      <c r="AL21" s="780"/>
      <c r="AM21" s="780"/>
      <c r="AN21" s="780"/>
      <c r="AO21" s="780"/>
    </row>
    <row r="22" spans="1:41" ht="15.75">
      <c r="A22" s="836">
        <v>11</v>
      </c>
      <c r="B22" s="859" t="s">
        <v>699</v>
      </c>
      <c r="C22" s="836">
        <v>100</v>
      </c>
      <c r="D22" s="780"/>
      <c r="E22" s="780"/>
      <c r="F22" s="780"/>
      <c r="G22" s="780"/>
      <c r="H22" s="780"/>
      <c r="I22" s="780"/>
      <c r="J22" s="780"/>
      <c r="K22" s="780"/>
      <c r="L22" s="780"/>
      <c r="M22" s="780"/>
      <c r="N22" s="780"/>
      <c r="O22" s="780"/>
      <c r="P22" s="780"/>
      <c r="Q22" s="780"/>
      <c r="R22" s="838"/>
      <c r="S22" s="780"/>
      <c r="T22" s="780"/>
      <c r="U22" s="780"/>
      <c r="V22" s="780">
        <v>100</v>
      </c>
      <c r="W22" s="780">
        <v>7410</v>
      </c>
      <c r="X22" s="780"/>
      <c r="Y22" s="780"/>
      <c r="Z22" s="780"/>
      <c r="AA22" s="780">
        <v>2</v>
      </c>
      <c r="AB22" s="780"/>
      <c r="AC22" s="780"/>
      <c r="AD22" s="780"/>
      <c r="AE22" s="780"/>
      <c r="AF22" s="780"/>
      <c r="AG22" s="780"/>
      <c r="AH22" s="780"/>
      <c r="AI22" s="780"/>
      <c r="AJ22" s="780"/>
      <c r="AK22" s="780"/>
      <c r="AL22" s="780"/>
      <c r="AM22" s="780"/>
      <c r="AN22" s="780"/>
      <c r="AO22" s="780"/>
    </row>
    <row r="23" spans="1:41" ht="15.75">
      <c r="A23" s="836"/>
      <c r="B23" s="858" t="s">
        <v>267</v>
      </c>
      <c r="C23" s="834">
        <f>SUM(C24:C26)</f>
        <v>572</v>
      </c>
      <c r="D23" s="834">
        <f t="shared" ref="D23:AO23" si="7">SUM(D24:D26)</f>
        <v>0</v>
      </c>
      <c r="E23" s="834">
        <f t="shared" si="7"/>
        <v>0</v>
      </c>
      <c r="F23" s="834">
        <f t="shared" si="7"/>
        <v>192</v>
      </c>
      <c r="G23" s="834">
        <f t="shared" si="7"/>
        <v>45</v>
      </c>
      <c r="H23" s="834">
        <f t="shared" si="7"/>
        <v>0</v>
      </c>
      <c r="I23" s="834">
        <f t="shared" si="7"/>
        <v>0</v>
      </c>
      <c r="J23" s="834">
        <f t="shared" si="7"/>
        <v>0</v>
      </c>
      <c r="K23" s="834">
        <f t="shared" si="7"/>
        <v>0</v>
      </c>
      <c r="L23" s="834">
        <f t="shared" si="7"/>
        <v>0</v>
      </c>
      <c r="M23" s="834">
        <f t="shared" si="7"/>
        <v>0</v>
      </c>
      <c r="N23" s="834">
        <f t="shared" si="7"/>
        <v>0</v>
      </c>
      <c r="O23" s="834">
        <f t="shared" si="7"/>
        <v>0</v>
      </c>
      <c r="P23" s="834">
        <f t="shared" si="7"/>
        <v>0</v>
      </c>
      <c r="Q23" s="834">
        <f t="shared" si="7"/>
        <v>0</v>
      </c>
      <c r="R23" s="838">
        <f t="shared" si="2"/>
        <v>11.819178082191781</v>
      </c>
      <c r="S23" s="834">
        <f t="shared" si="7"/>
        <v>14</v>
      </c>
      <c r="T23" s="834">
        <f t="shared" si="7"/>
        <v>4314</v>
      </c>
      <c r="U23" s="834">
        <f t="shared" si="7"/>
        <v>0</v>
      </c>
      <c r="V23" s="834">
        <f t="shared" si="7"/>
        <v>160</v>
      </c>
      <c r="W23" s="834">
        <f t="shared" si="7"/>
        <v>8531</v>
      </c>
      <c r="X23" s="834">
        <f t="shared" si="7"/>
        <v>1</v>
      </c>
      <c r="Y23" s="834">
        <f t="shared" si="7"/>
        <v>0</v>
      </c>
      <c r="Z23" s="834">
        <f t="shared" si="7"/>
        <v>0</v>
      </c>
      <c r="AA23" s="834">
        <f t="shared" si="7"/>
        <v>4</v>
      </c>
      <c r="AB23" s="834">
        <f t="shared" si="7"/>
        <v>0</v>
      </c>
      <c r="AC23" s="834">
        <f t="shared" si="7"/>
        <v>1</v>
      </c>
      <c r="AD23" s="834">
        <f t="shared" si="7"/>
        <v>0</v>
      </c>
      <c r="AE23" s="834">
        <f t="shared" si="7"/>
        <v>0</v>
      </c>
      <c r="AF23" s="834">
        <f t="shared" si="7"/>
        <v>0</v>
      </c>
      <c r="AG23" s="834">
        <f t="shared" si="7"/>
        <v>0</v>
      </c>
      <c r="AH23" s="834">
        <f t="shared" si="7"/>
        <v>0</v>
      </c>
      <c r="AI23" s="834">
        <f t="shared" si="7"/>
        <v>1</v>
      </c>
      <c r="AJ23" s="834">
        <f t="shared" si="7"/>
        <v>0</v>
      </c>
      <c r="AK23" s="834">
        <f t="shared" si="7"/>
        <v>0</v>
      </c>
      <c r="AL23" s="834">
        <f t="shared" si="7"/>
        <v>0</v>
      </c>
      <c r="AM23" s="834">
        <f t="shared" si="7"/>
        <v>0</v>
      </c>
      <c r="AN23" s="834">
        <f t="shared" si="7"/>
        <v>0</v>
      </c>
      <c r="AO23" s="834">
        <f t="shared" si="7"/>
        <v>0</v>
      </c>
    </row>
    <row r="24" spans="1:41" ht="15.75">
      <c r="A24" s="836">
        <v>12</v>
      </c>
      <c r="B24" s="859" t="s">
        <v>700</v>
      </c>
      <c r="C24" s="836">
        <v>413</v>
      </c>
      <c r="D24" s="780"/>
      <c r="E24" s="780"/>
      <c r="F24" s="780">
        <v>192</v>
      </c>
      <c r="G24" s="780">
        <v>45</v>
      </c>
      <c r="H24" s="780"/>
      <c r="I24" s="780"/>
      <c r="J24" s="780"/>
      <c r="K24" s="780"/>
      <c r="L24" s="780"/>
      <c r="M24" s="780"/>
      <c r="N24" s="780"/>
      <c r="O24" s="780"/>
      <c r="P24" s="780"/>
      <c r="Q24" s="780"/>
      <c r="R24" s="838">
        <f t="shared" si="2"/>
        <v>7.720547945205479</v>
      </c>
      <c r="S24" s="780">
        <v>6</v>
      </c>
      <c r="T24" s="780">
        <v>2818</v>
      </c>
      <c r="U24" s="780"/>
      <c r="V24" s="780">
        <v>100</v>
      </c>
      <c r="W24" s="780">
        <v>8531</v>
      </c>
      <c r="X24" s="780">
        <v>1</v>
      </c>
      <c r="Y24" s="780"/>
      <c r="Z24" s="780"/>
      <c r="AA24" s="780">
        <v>2</v>
      </c>
      <c r="AB24" s="780"/>
      <c r="AC24" s="780">
        <v>1</v>
      </c>
      <c r="AD24" s="780"/>
      <c r="AE24" s="780"/>
      <c r="AF24" s="780"/>
      <c r="AG24" s="780"/>
      <c r="AH24" s="780"/>
      <c r="AI24" s="780">
        <v>1</v>
      </c>
      <c r="AJ24" s="780"/>
      <c r="AK24" s="780"/>
      <c r="AL24" s="780"/>
      <c r="AM24" s="780"/>
      <c r="AN24" s="780"/>
      <c r="AO24" s="780"/>
    </row>
    <row r="25" spans="1:41" ht="15.75">
      <c r="A25" s="836">
        <v>13</v>
      </c>
      <c r="B25" s="859" t="s">
        <v>620</v>
      </c>
      <c r="C25" s="836">
        <v>90</v>
      </c>
      <c r="D25" s="780"/>
      <c r="E25" s="780"/>
      <c r="F25" s="780"/>
      <c r="G25" s="780"/>
      <c r="H25" s="780"/>
      <c r="I25" s="780"/>
      <c r="J25" s="780"/>
      <c r="K25" s="780"/>
      <c r="L25" s="780"/>
      <c r="M25" s="780"/>
      <c r="N25" s="780"/>
      <c r="O25" s="780"/>
      <c r="P25" s="780"/>
      <c r="Q25" s="780"/>
      <c r="R25" s="838"/>
      <c r="S25" s="780"/>
      <c r="T25" s="780"/>
      <c r="U25" s="780"/>
      <c r="V25" s="780">
        <v>60</v>
      </c>
      <c r="W25" s="780"/>
      <c r="X25" s="780"/>
      <c r="Y25" s="780"/>
      <c r="Z25" s="780"/>
      <c r="AA25" s="780">
        <v>1</v>
      </c>
      <c r="AB25" s="780"/>
      <c r="AC25" s="780"/>
      <c r="AD25" s="780"/>
      <c r="AE25" s="780"/>
      <c r="AF25" s="780"/>
      <c r="AG25" s="780"/>
      <c r="AH25" s="780"/>
      <c r="AI25" s="780"/>
      <c r="AJ25" s="780"/>
      <c r="AK25" s="780"/>
      <c r="AL25" s="780"/>
      <c r="AM25" s="780"/>
      <c r="AN25" s="780"/>
      <c r="AO25" s="780"/>
    </row>
    <row r="26" spans="1:41" ht="15.75">
      <c r="A26" s="836">
        <v>14</v>
      </c>
      <c r="B26" s="859" t="s">
        <v>621</v>
      </c>
      <c r="C26" s="836">
        <v>69</v>
      </c>
      <c r="D26" s="780"/>
      <c r="E26" s="780"/>
      <c r="F26" s="780"/>
      <c r="G26" s="780"/>
      <c r="H26" s="780"/>
      <c r="I26" s="780"/>
      <c r="J26" s="780"/>
      <c r="K26" s="780"/>
      <c r="L26" s="780"/>
      <c r="M26" s="780"/>
      <c r="N26" s="780"/>
      <c r="O26" s="780"/>
      <c r="P26" s="780"/>
      <c r="Q26" s="780"/>
      <c r="R26" s="838">
        <f t="shared" si="2"/>
        <v>4.0986301369863014</v>
      </c>
      <c r="S26" s="780">
        <v>8</v>
      </c>
      <c r="T26" s="780">
        <v>1496</v>
      </c>
      <c r="U26" s="780"/>
      <c r="V26" s="780"/>
      <c r="W26" s="780"/>
      <c r="X26" s="780"/>
      <c r="Y26" s="780"/>
      <c r="Z26" s="780"/>
      <c r="AA26" s="780">
        <v>1</v>
      </c>
      <c r="AB26" s="780"/>
      <c r="AC26" s="780"/>
      <c r="AD26" s="780"/>
      <c r="AE26" s="780"/>
      <c r="AF26" s="780"/>
      <c r="AG26" s="780"/>
      <c r="AH26" s="780"/>
      <c r="AI26" s="780"/>
      <c r="AJ26" s="780"/>
      <c r="AK26" s="780"/>
      <c r="AL26" s="780"/>
      <c r="AM26" s="780"/>
      <c r="AN26" s="780"/>
      <c r="AO26" s="780"/>
    </row>
    <row r="27" spans="1:41" ht="15.75">
      <c r="A27" s="836"/>
      <c r="B27" s="858" t="s">
        <v>271</v>
      </c>
      <c r="C27" s="834">
        <f>SUM(C28:C32)</f>
        <v>1694</v>
      </c>
      <c r="D27" s="834">
        <f t="shared" ref="D27:AO27" si="8">SUM(D28:D32)</f>
        <v>140</v>
      </c>
      <c r="E27" s="834">
        <f t="shared" si="8"/>
        <v>44</v>
      </c>
      <c r="F27" s="834">
        <f t="shared" si="8"/>
        <v>564</v>
      </c>
      <c r="G27" s="834">
        <f t="shared" si="8"/>
        <v>238</v>
      </c>
      <c r="H27" s="834">
        <f t="shared" si="8"/>
        <v>0</v>
      </c>
      <c r="I27" s="834">
        <f t="shared" si="8"/>
        <v>0</v>
      </c>
      <c r="J27" s="834">
        <f t="shared" si="8"/>
        <v>0</v>
      </c>
      <c r="K27" s="834">
        <f t="shared" si="8"/>
        <v>0</v>
      </c>
      <c r="L27" s="834">
        <f t="shared" si="8"/>
        <v>0</v>
      </c>
      <c r="M27" s="834">
        <f t="shared" si="8"/>
        <v>0</v>
      </c>
      <c r="N27" s="834">
        <f t="shared" si="8"/>
        <v>0</v>
      </c>
      <c r="O27" s="834">
        <f t="shared" si="8"/>
        <v>0</v>
      </c>
      <c r="P27" s="834">
        <f t="shared" si="8"/>
        <v>0</v>
      </c>
      <c r="Q27" s="834">
        <f t="shared" si="8"/>
        <v>0</v>
      </c>
      <c r="R27" s="838">
        <f t="shared" si="2"/>
        <v>39.473972602739728</v>
      </c>
      <c r="S27" s="834">
        <f t="shared" si="8"/>
        <v>22.5</v>
      </c>
      <c r="T27" s="834">
        <f t="shared" si="8"/>
        <v>14408</v>
      </c>
      <c r="U27" s="834">
        <f t="shared" si="8"/>
        <v>0</v>
      </c>
      <c r="V27" s="834">
        <f t="shared" si="8"/>
        <v>290</v>
      </c>
      <c r="W27" s="834">
        <f t="shared" si="8"/>
        <v>23104</v>
      </c>
      <c r="X27" s="834">
        <f t="shared" si="8"/>
        <v>2</v>
      </c>
      <c r="Y27" s="834">
        <f t="shared" si="8"/>
        <v>0</v>
      </c>
      <c r="Z27" s="834">
        <f t="shared" si="8"/>
        <v>0</v>
      </c>
      <c r="AA27" s="834">
        <f t="shared" si="8"/>
        <v>10</v>
      </c>
      <c r="AB27" s="834">
        <f t="shared" si="8"/>
        <v>0</v>
      </c>
      <c r="AC27" s="834">
        <f t="shared" si="8"/>
        <v>3</v>
      </c>
      <c r="AD27" s="834">
        <f t="shared" si="8"/>
        <v>1</v>
      </c>
      <c r="AE27" s="834">
        <f t="shared" si="8"/>
        <v>0</v>
      </c>
      <c r="AF27" s="834">
        <f t="shared" si="8"/>
        <v>0</v>
      </c>
      <c r="AG27" s="834">
        <f t="shared" si="8"/>
        <v>0</v>
      </c>
      <c r="AH27" s="834">
        <f t="shared" si="8"/>
        <v>0</v>
      </c>
      <c r="AI27" s="834">
        <f t="shared" si="8"/>
        <v>1</v>
      </c>
      <c r="AJ27" s="834">
        <f t="shared" si="8"/>
        <v>0</v>
      </c>
      <c r="AK27" s="834">
        <f t="shared" si="8"/>
        <v>0</v>
      </c>
      <c r="AL27" s="834">
        <f t="shared" si="8"/>
        <v>0</v>
      </c>
      <c r="AM27" s="834">
        <f t="shared" si="8"/>
        <v>0</v>
      </c>
      <c r="AN27" s="834">
        <f t="shared" si="8"/>
        <v>0</v>
      </c>
      <c r="AO27" s="834">
        <f t="shared" si="8"/>
        <v>0</v>
      </c>
    </row>
    <row r="28" spans="1:41" ht="15.75">
      <c r="A28" s="836">
        <v>15</v>
      </c>
      <c r="B28" s="859" t="s">
        <v>602</v>
      </c>
      <c r="C28" s="836">
        <v>557</v>
      </c>
      <c r="D28" s="780">
        <v>90</v>
      </c>
      <c r="E28" s="780">
        <v>23</v>
      </c>
      <c r="F28" s="780">
        <v>300</v>
      </c>
      <c r="G28" s="780">
        <v>74</v>
      </c>
      <c r="H28" s="780"/>
      <c r="I28" s="780"/>
      <c r="J28" s="780"/>
      <c r="K28" s="780"/>
      <c r="L28" s="780"/>
      <c r="M28" s="780"/>
      <c r="N28" s="780"/>
      <c r="O28" s="780"/>
      <c r="P28" s="780"/>
      <c r="Q28" s="780"/>
      <c r="R28" s="838">
        <f t="shared" si="2"/>
        <v>8.1643835616438363</v>
      </c>
      <c r="S28" s="780">
        <v>1.5</v>
      </c>
      <c r="T28" s="780">
        <v>2980</v>
      </c>
      <c r="U28" s="780"/>
      <c r="V28" s="780">
        <v>200</v>
      </c>
      <c r="W28" s="780">
        <v>7877</v>
      </c>
      <c r="X28" s="780">
        <v>1</v>
      </c>
      <c r="Y28" s="780"/>
      <c r="Z28" s="780"/>
      <c r="AA28" s="780">
        <v>10</v>
      </c>
      <c r="AB28" s="780"/>
      <c r="AC28" s="780">
        <v>1</v>
      </c>
      <c r="AD28" s="780">
        <v>1</v>
      </c>
      <c r="AE28" s="780"/>
      <c r="AF28" s="780"/>
      <c r="AG28" s="780"/>
      <c r="AH28" s="780"/>
      <c r="AI28" s="780">
        <v>1</v>
      </c>
      <c r="AJ28" s="780"/>
      <c r="AK28" s="780"/>
      <c r="AL28" s="780"/>
      <c r="AM28" s="780"/>
      <c r="AN28" s="780"/>
      <c r="AO28" s="780"/>
    </row>
    <row r="29" spans="1:41" ht="15.75">
      <c r="A29" s="836">
        <v>16</v>
      </c>
      <c r="B29" s="859" t="s">
        <v>701</v>
      </c>
      <c r="C29" s="836">
        <v>162</v>
      </c>
      <c r="D29" s="780"/>
      <c r="E29" s="780"/>
      <c r="F29" s="780"/>
      <c r="G29" s="780"/>
      <c r="H29" s="780"/>
      <c r="I29" s="780"/>
      <c r="J29" s="780"/>
      <c r="K29" s="780"/>
      <c r="L29" s="780"/>
      <c r="M29" s="780"/>
      <c r="N29" s="780"/>
      <c r="O29" s="780"/>
      <c r="P29" s="780"/>
      <c r="Q29" s="780"/>
      <c r="R29" s="838"/>
      <c r="S29" s="780"/>
      <c r="T29" s="780"/>
      <c r="U29" s="780"/>
      <c r="V29" s="780">
        <v>30</v>
      </c>
      <c r="W29" s="780"/>
      <c r="X29" s="780"/>
      <c r="Y29" s="780"/>
      <c r="Z29" s="780"/>
      <c r="AA29" s="780"/>
      <c r="AB29" s="780"/>
      <c r="AC29" s="780"/>
      <c r="AD29" s="780"/>
      <c r="AE29" s="780"/>
      <c r="AF29" s="780"/>
      <c r="AG29" s="780"/>
      <c r="AH29" s="780"/>
      <c r="AI29" s="780"/>
      <c r="AJ29" s="780"/>
      <c r="AK29" s="780"/>
      <c r="AL29" s="780"/>
      <c r="AM29" s="780"/>
      <c r="AN29" s="780"/>
      <c r="AO29" s="780"/>
    </row>
    <row r="30" spans="1:41" ht="15.75">
      <c r="A30" s="836">
        <v>17</v>
      </c>
      <c r="B30" s="859" t="s">
        <v>605</v>
      </c>
      <c r="C30" s="836">
        <v>507</v>
      </c>
      <c r="D30" s="780">
        <v>50</v>
      </c>
      <c r="E30" s="780">
        <v>21</v>
      </c>
      <c r="F30" s="780">
        <v>114</v>
      </c>
      <c r="G30" s="780">
        <v>121</v>
      </c>
      <c r="H30" s="780"/>
      <c r="I30" s="780"/>
      <c r="J30" s="780"/>
      <c r="K30" s="780"/>
      <c r="L30" s="780"/>
      <c r="M30" s="780"/>
      <c r="N30" s="780"/>
      <c r="O30" s="780"/>
      <c r="P30" s="780"/>
      <c r="Q30" s="780"/>
      <c r="R30" s="838">
        <f t="shared" si="2"/>
        <v>13.567123287671233</v>
      </c>
      <c r="S30" s="780">
        <v>11</v>
      </c>
      <c r="T30" s="780">
        <v>4952</v>
      </c>
      <c r="U30" s="780"/>
      <c r="V30" s="780"/>
      <c r="W30" s="780">
        <v>6651</v>
      </c>
      <c r="X30" s="780"/>
      <c r="Y30" s="780"/>
      <c r="Z30" s="780"/>
      <c r="AA30" s="780"/>
      <c r="AB30" s="780"/>
      <c r="AC30" s="780">
        <v>1</v>
      </c>
      <c r="AD30" s="780"/>
      <c r="AE30" s="780"/>
      <c r="AF30" s="780"/>
      <c r="AG30" s="780"/>
      <c r="AH30" s="780"/>
      <c r="AI30" s="780"/>
      <c r="AJ30" s="780"/>
      <c r="AK30" s="780"/>
      <c r="AL30" s="780"/>
      <c r="AM30" s="780"/>
      <c r="AN30" s="780"/>
      <c r="AO30" s="780"/>
    </row>
    <row r="31" spans="1:41" ht="15.75">
      <c r="A31" s="836">
        <v>18</v>
      </c>
      <c r="B31" s="859" t="s">
        <v>702</v>
      </c>
      <c r="C31" s="836">
        <v>376</v>
      </c>
      <c r="D31" s="780"/>
      <c r="E31" s="780"/>
      <c r="F31" s="780">
        <v>150</v>
      </c>
      <c r="G31" s="780">
        <v>43</v>
      </c>
      <c r="H31" s="780"/>
      <c r="I31" s="780"/>
      <c r="J31" s="780"/>
      <c r="K31" s="780"/>
      <c r="L31" s="780"/>
      <c r="M31" s="780"/>
      <c r="N31" s="780"/>
      <c r="O31" s="780"/>
      <c r="P31" s="780"/>
      <c r="Q31" s="780"/>
      <c r="R31" s="838">
        <f t="shared" si="2"/>
        <v>17.742465753424657</v>
      </c>
      <c r="S31" s="780">
        <v>10</v>
      </c>
      <c r="T31" s="780">
        <v>6476</v>
      </c>
      <c r="U31" s="780"/>
      <c r="V31" s="780">
        <v>60</v>
      </c>
      <c r="W31" s="780">
        <v>8576</v>
      </c>
      <c r="X31" s="780">
        <v>1</v>
      </c>
      <c r="Y31" s="780"/>
      <c r="Z31" s="780"/>
      <c r="AA31" s="780"/>
      <c r="AB31" s="780"/>
      <c r="AC31" s="780">
        <v>1</v>
      </c>
      <c r="AD31" s="780"/>
      <c r="AE31" s="780"/>
      <c r="AF31" s="780"/>
      <c r="AG31" s="780"/>
      <c r="AH31" s="780"/>
      <c r="AI31" s="780"/>
      <c r="AJ31" s="780"/>
      <c r="AK31" s="780"/>
      <c r="AL31" s="780"/>
      <c r="AM31" s="780"/>
      <c r="AN31" s="780"/>
      <c r="AO31" s="780"/>
    </row>
    <row r="32" spans="1:41" ht="15.75">
      <c r="A32" s="836">
        <v>19</v>
      </c>
      <c r="B32" s="859" t="s">
        <v>703</v>
      </c>
      <c r="C32" s="836">
        <v>92</v>
      </c>
      <c r="D32" s="780"/>
      <c r="E32" s="780"/>
      <c r="F32" s="780"/>
      <c r="G32" s="780"/>
      <c r="H32" s="780"/>
      <c r="I32" s="780"/>
      <c r="J32" s="780"/>
      <c r="K32" s="780"/>
      <c r="L32" s="780"/>
      <c r="M32" s="780"/>
      <c r="N32" s="780"/>
      <c r="O32" s="780"/>
      <c r="P32" s="780"/>
      <c r="Q32" s="780"/>
      <c r="R32" s="838"/>
      <c r="S32" s="780"/>
      <c r="T32" s="780"/>
      <c r="U32" s="780"/>
      <c r="V32" s="780"/>
      <c r="W32" s="780"/>
      <c r="X32" s="780"/>
      <c r="Y32" s="780"/>
      <c r="Z32" s="780"/>
      <c r="AA32" s="780"/>
      <c r="AB32" s="780"/>
      <c r="AC32" s="780"/>
      <c r="AD32" s="780"/>
      <c r="AE32" s="780"/>
      <c r="AF32" s="780"/>
      <c r="AG32" s="780"/>
      <c r="AH32" s="780"/>
      <c r="AI32" s="780"/>
      <c r="AJ32" s="780"/>
      <c r="AK32" s="780"/>
      <c r="AL32" s="780"/>
      <c r="AM32" s="780"/>
      <c r="AN32" s="780"/>
      <c r="AO32" s="780"/>
    </row>
    <row r="33" spans="1:44" ht="15.75">
      <c r="A33" s="836"/>
      <c r="B33" s="860" t="s">
        <v>277</v>
      </c>
      <c r="C33" s="834">
        <f>SUM(C34:C38)</f>
        <v>1019</v>
      </c>
      <c r="D33" s="834">
        <f t="shared" ref="D33:AO33" si="9">SUM(D34:D38)</f>
        <v>0</v>
      </c>
      <c r="E33" s="834">
        <f t="shared" si="9"/>
        <v>0</v>
      </c>
      <c r="F33" s="834">
        <f t="shared" si="9"/>
        <v>237</v>
      </c>
      <c r="G33" s="834">
        <f t="shared" si="9"/>
        <v>82</v>
      </c>
      <c r="H33" s="834">
        <f t="shared" si="9"/>
        <v>0</v>
      </c>
      <c r="I33" s="834">
        <f t="shared" si="9"/>
        <v>0</v>
      </c>
      <c r="J33" s="834">
        <f t="shared" si="9"/>
        <v>0</v>
      </c>
      <c r="K33" s="834">
        <f t="shared" si="9"/>
        <v>0</v>
      </c>
      <c r="L33" s="834">
        <f t="shared" si="9"/>
        <v>0</v>
      </c>
      <c r="M33" s="834">
        <f t="shared" si="9"/>
        <v>0</v>
      </c>
      <c r="N33" s="834">
        <f t="shared" si="9"/>
        <v>0</v>
      </c>
      <c r="O33" s="834">
        <f t="shared" si="9"/>
        <v>0</v>
      </c>
      <c r="P33" s="834">
        <f t="shared" si="9"/>
        <v>0</v>
      </c>
      <c r="Q33" s="834">
        <f t="shared" si="9"/>
        <v>0</v>
      </c>
      <c r="R33" s="838">
        <f t="shared" si="2"/>
        <v>45.652054794520545</v>
      </c>
      <c r="S33" s="834">
        <f t="shared" si="9"/>
        <v>23</v>
      </c>
      <c r="T33" s="834">
        <f t="shared" si="9"/>
        <v>16663</v>
      </c>
      <c r="U33" s="834">
        <f t="shared" si="9"/>
        <v>0</v>
      </c>
      <c r="V33" s="834">
        <f t="shared" si="9"/>
        <v>80</v>
      </c>
      <c r="W33" s="834">
        <f t="shared" si="9"/>
        <v>17537</v>
      </c>
      <c r="X33" s="834">
        <f t="shared" si="9"/>
        <v>1</v>
      </c>
      <c r="Y33" s="834">
        <f t="shared" si="9"/>
        <v>0</v>
      </c>
      <c r="Z33" s="834">
        <f t="shared" si="9"/>
        <v>0</v>
      </c>
      <c r="AA33" s="834">
        <f t="shared" si="9"/>
        <v>6</v>
      </c>
      <c r="AB33" s="834">
        <f t="shared" si="9"/>
        <v>0</v>
      </c>
      <c r="AC33" s="834">
        <f t="shared" si="9"/>
        <v>2</v>
      </c>
      <c r="AD33" s="834">
        <f t="shared" si="9"/>
        <v>0</v>
      </c>
      <c r="AE33" s="834">
        <f t="shared" si="9"/>
        <v>0</v>
      </c>
      <c r="AF33" s="834">
        <f t="shared" si="9"/>
        <v>0</v>
      </c>
      <c r="AG33" s="834">
        <f t="shared" si="9"/>
        <v>0</v>
      </c>
      <c r="AH33" s="834">
        <f t="shared" si="9"/>
        <v>0</v>
      </c>
      <c r="AI33" s="834">
        <f t="shared" si="9"/>
        <v>1</v>
      </c>
      <c r="AJ33" s="834">
        <f t="shared" si="9"/>
        <v>0</v>
      </c>
      <c r="AK33" s="834">
        <f t="shared" si="9"/>
        <v>0</v>
      </c>
      <c r="AL33" s="834">
        <f t="shared" si="9"/>
        <v>0</v>
      </c>
      <c r="AM33" s="834">
        <f t="shared" si="9"/>
        <v>0</v>
      </c>
      <c r="AN33" s="834">
        <f t="shared" si="9"/>
        <v>0</v>
      </c>
      <c r="AO33" s="834">
        <f t="shared" si="9"/>
        <v>0</v>
      </c>
    </row>
    <row r="34" spans="1:44" ht="15.75">
      <c r="A34" s="836">
        <v>20</v>
      </c>
      <c r="B34" s="859" t="s">
        <v>622</v>
      </c>
      <c r="C34" s="836">
        <v>486</v>
      </c>
      <c r="D34" s="780"/>
      <c r="E34" s="780"/>
      <c r="F34" s="780">
        <v>120</v>
      </c>
      <c r="G34" s="780">
        <v>70</v>
      </c>
      <c r="H34" s="780"/>
      <c r="I34" s="780"/>
      <c r="J34" s="780"/>
      <c r="K34" s="780"/>
      <c r="L34" s="780"/>
      <c r="M34" s="780"/>
      <c r="N34" s="780"/>
      <c r="O34" s="780"/>
      <c r="P34" s="780"/>
      <c r="Q34" s="780"/>
      <c r="R34" s="838">
        <f t="shared" si="2"/>
        <v>21.917808219178081</v>
      </c>
      <c r="S34" s="780">
        <v>8</v>
      </c>
      <c r="T34" s="780">
        <v>8000</v>
      </c>
      <c r="U34" s="780"/>
      <c r="V34" s="780">
        <v>80</v>
      </c>
      <c r="W34" s="780">
        <v>8289</v>
      </c>
      <c r="X34" s="780">
        <v>1</v>
      </c>
      <c r="Y34" s="780"/>
      <c r="Z34" s="780"/>
      <c r="AA34" s="780">
        <v>6</v>
      </c>
      <c r="AB34" s="780"/>
      <c r="AC34" s="780">
        <v>1</v>
      </c>
      <c r="AD34" s="780"/>
      <c r="AE34" s="780"/>
      <c r="AF34" s="780"/>
      <c r="AG34" s="780"/>
      <c r="AH34" s="780"/>
      <c r="AI34" s="780">
        <v>1</v>
      </c>
      <c r="AJ34" s="780"/>
      <c r="AK34" s="780"/>
      <c r="AL34" s="780"/>
      <c r="AM34" s="780"/>
      <c r="AN34" s="780"/>
      <c r="AO34" s="780"/>
    </row>
    <row r="35" spans="1:44" ht="15.75">
      <c r="A35" s="836">
        <v>21</v>
      </c>
      <c r="B35" s="859" t="s">
        <v>704</v>
      </c>
      <c r="C35" s="836">
        <v>147</v>
      </c>
      <c r="D35" s="780"/>
      <c r="E35" s="780"/>
      <c r="F35" s="780"/>
      <c r="G35" s="780"/>
      <c r="H35" s="780"/>
      <c r="I35" s="780"/>
      <c r="J35" s="780"/>
      <c r="K35" s="780"/>
      <c r="L35" s="780"/>
      <c r="M35" s="780"/>
      <c r="N35" s="780"/>
      <c r="O35" s="780"/>
      <c r="P35" s="780"/>
      <c r="Q35" s="780"/>
      <c r="R35" s="838">
        <f t="shared" si="2"/>
        <v>5.6164383561643838</v>
      </c>
      <c r="S35" s="780">
        <v>9</v>
      </c>
      <c r="T35" s="780">
        <v>2050</v>
      </c>
      <c r="U35" s="780"/>
      <c r="V35" s="780"/>
      <c r="W35" s="780">
        <v>1922</v>
      </c>
      <c r="X35" s="780"/>
      <c r="Y35" s="780"/>
      <c r="Z35" s="780"/>
      <c r="AA35" s="780"/>
      <c r="AB35" s="780"/>
      <c r="AC35" s="780"/>
      <c r="AD35" s="780"/>
      <c r="AE35" s="780"/>
      <c r="AF35" s="780" t="s">
        <v>297</v>
      </c>
      <c r="AG35" s="780"/>
      <c r="AH35" s="780"/>
      <c r="AI35" s="780"/>
      <c r="AJ35" s="780"/>
      <c r="AK35" s="780"/>
      <c r="AL35" s="780"/>
      <c r="AM35" s="780"/>
      <c r="AN35" s="780"/>
      <c r="AO35" s="780"/>
    </row>
    <row r="36" spans="1:44" ht="15.75">
      <c r="A36" s="836">
        <v>22</v>
      </c>
      <c r="B36" s="859" t="s">
        <v>705</v>
      </c>
      <c r="C36" s="836">
        <v>158</v>
      </c>
      <c r="D36" s="780"/>
      <c r="E36" s="780"/>
      <c r="F36" s="780"/>
      <c r="G36" s="780"/>
      <c r="H36" s="780"/>
      <c r="I36" s="780"/>
      <c r="J36" s="780"/>
      <c r="K36" s="780"/>
      <c r="L36" s="780"/>
      <c r="M36" s="780"/>
      <c r="N36" s="780"/>
      <c r="O36" s="780"/>
      <c r="P36" s="780"/>
      <c r="Q36" s="780"/>
      <c r="R36" s="838">
        <f t="shared" si="2"/>
        <v>7.5232876712328771</v>
      </c>
      <c r="S36" s="780">
        <v>3</v>
      </c>
      <c r="T36" s="780">
        <v>2746</v>
      </c>
      <c r="U36" s="780"/>
      <c r="V36" s="780"/>
      <c r="W36" s="780">
        <v>4597</v>
      </c>
      <c r="X36" s="780"/>
      <c r="Y36" s="780"/>
      <c r="Z36" s="780"/>
      <c r="AA36" s="780"/>
      <c r="AB36" s="780"/>
      <c r="AC36" s="780"/>
      <c r="AD36" s="780"/>
      <c r="AE36" s="780"/>
      <c r="AF36" s="780"/>
      <c r="AG36" s="780"/>
      <c r="AH36" s="780"/>
      <c r="AI36" s="780"/>
      <c r="AJ36" s="780"/>
      <c r="AK36" s="780"/>
      <c r="AL36" s="780"/>
      <c r="AM36" s="780"/>
      <c r="AN36" s="780"/>
      <c r="AO36" s="780"/>
    </row>
    <row r="37" spans="1:44" ht="15.75">
      <c r="A37" s="836">
        <v>23</v>
      </c>
      <c r="B37" s="859" t="s">
        <v>706</v>
      </c>
      <c r="C37" s="836">
        <v>27</v>
      </c>
      <c r="D37" s="780"/>
      <c r="E37" s="780"/>
      <c r="F37" s="780"/>
      <c r="G37" s="780"/>
      <c r="H37" s="780"/>
      <c r="I37" s="780"/>
      <c r="J37" s="780"/>
      <c r="K37" s="780"/>
      <c r="L37" s="780"/>
      <c r="M37" s="780"/>
      <c r="N37" s="780"/>
      <c r="O37" s="780"/>
      <c r="P37" s="780"/>
      <c r="Q37" s="780"/>
      <c r="R37" s="838"/>
      <c r="S37" s="780"/>
      <c r="T37" s="780"/>
      <c r="U37" s="780"/>
      <c r="V37" s="780"/>
      <c r="W37" s="780"/>
      <c r="X37" s="780"/>
      <c r="Y37" s="780"/>
      <c r="Z37" s="780"/>
      <c r="AA37" s="780"/>
      <c r="AB37" s="780"/>
      <c r="AC37" s="780"/>
      <c r="AD37" s="780"/>
      <c r="AE37" s="780"/>
      <c r="AF37" s="780"/>
      <c r="AG37" s="780"/>
      <c r="AH37" s="780"/>
      <c r="AI37" s="780"/>
      <c r="AJ37" s="780"/>
      <c r="AK37" s="780"/>
      <c r="AL37" s="780"/>
      <c r="AM37" s="780"/>
      <c r="AN37" s="780"/>
      <c r="AO37" s="780"/>
    </row>
    <row r="38" spans="1:44" ht="15.75">
      <c r="A38" s="836">
        <v>24</v>
      </c>
      <c r="B38" s="859" t="s">
        <v>707</v>
      </c>
      <c r="C38" s="836">
        <v>201</v>
      </c>
      <c r="D38" s="780"/>
      <c r="E38" s="780"/>
      <c r="F38" s="780">
        <v>117</v>
      </c>
      <c r="G38" s="780">
        <v>12</v>
      </c>
      <c r="H38" s="780"/>
      <c r="I38" s="780"/>
      <c r="J38" s="780"/>
      <c r="K38" s="780"/>
      <c r="L38" s="780"/>
      <c r="M38" s="780"/>
      <c r="N38" s="780"/>
      <c r="O38" s="780"/>
      <c r="P38" s="780"/>
      <c r="Q38" s="780"/>
      <c r="R38" s="838">
        <f t="shared" si="2"/>
        <v>10.594520547945205</v>
      </c>
      <c r="S38" s="780">
        <v>3</v>
      </c>
      <c r="T38" s="780">
        <v>3867</v>
      </c>
      <c r="U38" s="780"/>
      <c r="V38" s="780"/>
      <c r="W38" s="780">
        <v>2729</v>
      </c>
      <c r="X38" s="780"/>
      <c r="Y38" s="780"/>
      <c r="Z38" s="780"/>
      <c r="AA38" s="780"/>
      <c r="AB38" s="780"/>
      <c r="AC38" s="780">
        <v>1</v>
      </c>
      <c r="AD38" s="780"/>
      <c r="AE38" s="780"/>
      <c r="AF38" s="780"/>
      <c r="AG38" s="780"/>
      <c r="AH38" s="780"/>
      <c r="AI38" s="780"/>
      <c r="AJ38" s="780"/>
      <c r="AK38" s="780"/>
      <c r="AL38" s="780"/>
      <c r="AM38" s="780"/>
      <c r="AN38" s="780"/>
      <c r="AO38" s="780"/>
    </row>
    <row r="39" spans="1:44" ht="15.75">
      <c r="A39" s="836"/>
      <c r="B39" s="858" t="s">
        <v>283</v>
      </c>
      <c r="C39" s="843">
        <f>SUM(C40:C43)</f>
        <v>1013</v>
      </c>
      <c r="D39" s="843">
        <f t="shared" ref="D39:AR39" si="10">SUM(D40:D43)</f>
        <v>0</v>
      </c>
      <c r="E39" s="843">
        <f t="shared" si="10"/>
        <v>0</v>
      </c>
      <c r="F39" s="843">
        <f t="shared" si="10"/>
        <v>230</v>
      </c>
      <c r="G39" s="843">
        <f t="shared" si="10"/>
        <v>116</v>
      </c>
      <c r="H39" s="843">
        <f t="shared" si="10"/>
        <v>0</v>
      </c>
      <c r="I39" s="843">
        <f t="shared" si="10"/>
        <v>0</v>
      </c>
      <c r="J39" s="843">
        <f t="shared" si="10"/>
        <v>0</v>
      </c>
      <c r="K39" s="843">
        <f t="shared" si="10"/>
        <v>0</v>
      </c>
      <c r="L39" s="843">
        <f t="shared" si="10"/>
        <v>0</v>
      </c>
      <c r="M39" s="843">
        <f t="shared" si="10"/>
        <v>0</v>
      </c>
      <c r="N39" s="843">
        <f t="shared" si="10"/>
        <v>0</v>
      </c>
      <c r="O39" s="843">
        <f t="shared" si="10"/>
        <v>0</v>
      </c>
      <c r="P39" s="843">
        <f t="shared" si="10"/>
        <v>0</v>
      </c>
      <c r="Q39" s="843">
        <f t="shared" si="10"/>
        <v>0</v>
      </c>
      <c r="R39" s="838">
        <f t="shared" si="2"/>
        <v>16.032876712328768</v>
      </c>
      <c r="S39" s="843">
        <f t="shared" si="10"/>
        <v>9</v>
      </c>
      <c r="T39" s="843">
        <f t="shared" si="10"/>
        <v>5852</v>
      </c>
      <c r="U39" s="843">
        <f t="shared" si="10"/>
        <v>0</v>
      </c>
      <c r="V39" s="843">
        <f t="shared" si="10"/>
        <v>300</v>
      </c>
      <c r="W39" s="843">
        <f t="shared" si="10"/>
        <v>13866</v>
      </c>
      <c r="X39" s="843">
        <f t="shared" si="10"/>
        <v>1</v>
      </c>
      <c r="Y39" s="843">
        <f t="shared" si="10"/>
        <v>0</v>
      </c>
      <c r="Z39" s="843">
        <f t="shared" si="10"/>
        <v>0</v>
      </c>
      <c r="AA39" s="843">
        <f t="shared" si="10"/>
        <v>7</v>
      </c>
      <c r="AB39" s="843">
        <f t="shared" si="10"/>
        <v>0</v>
      </c>
      <c r="AC39" s="843">
        <f t="shared" si="10"/>
        <v>1</v>
      </c>
      <c r="AD39" s="843">
        <f t="shared" si="10"/>
        <v>1</v>
      </c>
      <c r="AE39" s="843">
        <f t="shared" si="10"/>
        <v>0</v>
      </c>
      <c r="AF39" s="843">
        <f t="shared" si="10"/>
        <v>0</v>
      </c>
      <c r="AG39" s="843">
        <f t="shared" si="10"/>
        <v>0</v>
      </c>
      <c r="AH39" s="843">
        <f t="shared" si="10"/>
        <v>0</v>
      </c>
      <c r="AI39" s="843">
        <f t="shared" si="10"/>
        <v>1</v>
      </c>
      <c r="AJ39" s="843">
        <f t="shared" si="10"/>
        <v>0</v>
      </c>
      <c r="AK39" s="843">
        <f t="shared" si="10"/>
        <v>0</v>
      </c>
      <c r="AL39" s="843">
        <f t="shared" si="10"/>
        <v>0</v>
      </c>
      <c r="AM39" s="843">
        <f t="shared" si="10"/>
        <v>0</v>
      </c>
      <c r="AN39" s="843">
        <f t="shared" si="10"/>
        <v>0</v>
      </c>
      <c r="AO39" s="843">
        <f t="shared" si="10"/>
        <v>0</v>
      </c>
      <c r="AP39" s="843">
        <f t="shared" si="10"/>
        <v>0</v>
      </c>
      <c r="AQ39" s="843">
        <f t="shared" si="10"/>
        <v>1</v>
      </c>
      <c r="AR39" s="843">
        <f t="shared" si="10"/>
        <v>0</v>
      </c>
    </row>
    <row r="40" spans="1:44" ht="15.75">
      <c r="A40" s="836">
        <v>25</v>
      </c>
      <c r="B40" s="859" t="s">
        <v>607</v>
      </c>
      <c r="C40" s="836">
        <v>658</v>
      </c>
      <c r="D40" s="780"/>
      <c r="E40" s="780"/>
      <c r="F40" s="780">
        <v>80</v>
      </c>
      <c r="G40" s="780">
        <v>81</v>
      </c>
      <c r="H40" s="780"/>
      <c r="I40" s="780"/>
      <c r="J40" s="780"/>
      <c r="K40" s="780"/>
      <c r="L40" s="780"/>
      <c r="M40" s="780"/>
      <c r="N40" s="780"/>
      <c r="O40" s="780"/>
      <c r="P40" s="780"/>
      <c r="Q40" s="780"/>
      <c r="R40" s="838">
        <f t="shared" si="2"/>
        <v>12.517808219178082</v>
      </c>
      <c r="S40" s="780">
        <v>5</v>
      </c>
      <c r="T40" s="780">
        <v>4569</v>
      </c>
      <c r="U40" s="780"/>
      <c r="V40" s="780">
        <v>250</v>
      </c>
      <c r="W40" s="780">
        <v>8051</v>
      </c>
      <c r="X40" s="780"/>
      <c r="Y40" s="780"/>
      <c r="Z40" s="780"/>
      <c r="AA40" s="780">
        <v>3</v>
      </c>
      <c r="AB40" s="780"/>
      <c r="AC40" s="780">
        <v>1</v>
      </c>
      <c r="AD40" s="780">
        <v>1</v>
      </c>
      <c r="AE40" s="780"/>
      <c r="AF40" s="780"/>
      <c r="AG40" s="780"/>
      <c r="AH40" s="780"/>
      <c r="AI40" s="780">
        <v>1</v>
      </c>
      <c r="AJ40" s="780"/>
      <c r="AK40" s="780"/>
      <c r="AL40" s="780"/>
      <c r="AM40" s="780"/>
      <c r="AN40" s="780"/>
      <c r="AO40" s="780"/>
      <c r="AQ40">
        <v>1</v>
      </c>
    </row>
    <row r="41" spans="1:44" ht="15.75">
      <c r="A41" s="836">
        <v>26</v>
      </c>
      <c r="B41" s="859" t="s">
        <v>708</v>
      </c>
      <c r="C41" s="836">
        <v>275</v>
      </c>
      <c r="D41" s="780"/>
      <c r="E41" s="780"/>
      <c r="F41" s="780">
        <v>150</v>
      </c>
      <c r="G41" s="780">
        <v>35</v>
      </c>
      <c r="H41" s="780"/>
      <c r="I41" s="780"/>
      <c r="J41" s="780"/>
      <c r="K41" s="780"/>
      <c r="L41" s="780"/>
      <c r="M41" s="780"/>
      <c r="N41" s="780"/>
      <c r="O41" s="780"/>
      <c r="P41" s="780"/>
      <c r="Q41" s="780"/>
      <c r="R41" s="838">
        <f t="shared" si="2"/>
        <v>3.515068493150685</v>
      </c>
      <c r="S41" s="780">
        <v>4</v>
      </c>
      <c r="T41" s="780">
        <v>1283</v>
      </c>
      <c r="U41" s="780"/>
      <c r="V41" s="780"/>
      <c r="W41" s="780">
        <v>5815</v>
      </c>
      <c r="X41" s="780">
        <v>1</v>
      </c>
      <c r="Y41" s="780"/>
      <c r="Z41" s="780"/>
      <c r="AA41" s="780">
        <v>3</v>
      </c>
      <c r="AB41" s="780"/>
      <c r="AC41" s="780"/>
      <c r="AD41" s="780"/>
      <c r="AE41" s="780"/>
      <c r="AF41" s="780"/>
      <c r="AG41" s="780"/>
      <c r="AH41" s="780"/>
      <c r="AI41" s="780"/>
      <c r="AJ41" s="780"/>
      <c r="AK41" s="780"/>
      <c r="AL41" s="780"/>
      <c r="AM41" s="780"/>
      <c r="AN41" s="780"/>
      <c r="AO41" s="780"/>
    </row>
    <row r="42" spans="1:44" ht="15.75">
      <c r="A42" s="836">
        <v>27</v>
      </c>
      <c r="B42" s="859" t="s">
        <v>709</v>
      </c>
      <c r="C42" s="836">
        <v>79</v>
      </c>
      <c r="D42" s="780"/>
      <c r="E42" s="780"/>
      <c r="F42" s="780"/>
      <c r="G42" s="780"/>
      <c r="H42" s="780"/>
      <c r="I42" s="780"/>
      <c r="J42" s="780"/>
      <c r="K42" s="780"/>
      <c r="L42" s="780"/>
      <c r="M42" s="780"/>
      <c r="N42" s="780"/>
      <c r="O42" s="780"/>
      <c r="P42" s="780"/>
      <c r="Q42" s="780"/>
      <c r="R42" s="838"/>
      <c r="S42" s="780"/>
      <c r="T42" s="780"/>
      <c r="U42" s="780"/>
      <c r="V42" s="780">
        <v>50</v>
      </c>
      <c r="W42" s="780"/>
      <c r="X42" s="780"/>
      <c r="Y42" s="780"/>
      <c r="Z42" s="780"/>
      <c r="AA42" s="780">
        <v>1</v>
      </c>
      <c r="AB42" s="780"/>
      <c r="AC42" s="780"/>
      <c r="AD42" s="780"/>
      <c r="AE42" s="780"/>
      <c r="AF42" s="780"/>
      <c r="AG42" s="780"/>
      <c r="AH42" s="780"/>
      <c r="AI42" s="780"/>
      <c r="AJ42" s="780"/>
      <c r="AK42" s="780"/>
      <c r="AL42" s="780"/>
      <c r="AM42" s="780"/>
      <c r="AN42" s="780"/>
      <c r="AO42" s="780"/>
    </row>
    <row r="43" spans="1:44" ht="15.75">
      <c r="A43" s="836">
        <v>28</v>
      </c>
      <c r="B43" s="859" t="s">
        <v>710</v>
      </c>
      <c r="C43" s="836">
        <v>1</v>
      </c>
      <c r="D43" s="780"/>
      <c r="E43" s="780"/>
      <c r="F43" s="780"/>
      <c r="G43" s="780"/>
      <c r="H43" s="780"/>
      <c r="I43" s="780"/>
      <c r="J43" s="780"/>
      <c r="K43" s="780"/>
      <c r="L43" s="780"/>
      <c r="M43" s="780"/>
      <c r="N43" s="780"/>
      <c r="O43" s="780"/>
      <c r="P43" s="780"/>
      <c r="Q43" s="780"/>
      <c r="R43" s="838"/>
      <c r="S43" s="780"/>
      <c r="T43" s="780"/>
      <c r="U43" s="780"/>
      <c r="V43" s="780"/>
      <c r="W43" s="780"/>
      <c r="X43" s="780"/>
      <c r="Y43" s="780"/>
      <c r="Z43" s="780"/>
      <c r="AA43" s="780"/>
      <c r="AB43" s="780"/>
      <c r="AC43" s="780"/>
      <c r="AD43" s="780"/>
      <c r="AE43" s="780"/>
      <c r="AF43" s="780"/>
      <c r="AG43" s="780"/>
      <c r="AH43" s="780"/>
      <c r="AI43" s="780"/>
      <c r="AJ43" s="780"/>
      <c r="AK43" s="780"/>
      <c r="AL43" s="780"/>
      <c r="AM43" s="780"/>
      <c r="AN43" s="780"/>
      <c r="AO43" s="780"/>
    </row>
    <row r="44" spans="1:44" ht="15.75">
      <c r="A44" s="836"/>
      <c r="B44" s="858" t="s">
        <v>288</v>
      </c>
      <c r="C44" s="834">
        <f>SUM(C45:C47)</f>
        <v>1082</v>
      </c>
      <c r="D44" s="834">
        <f t="shared" ref="D44:AO44" si="11">SUM(D45:D47)</f>
        <v>20</v>
      </c>
      <c r="E44" s="834">
        <f t="shared" si="11"/>
        <v>12</v>
      </c>
      <c r="F44" s="834">
        <f t="shared" si="11"/>
        <v>444</v>
      </c>
      <c r="G44" s="834">
        <f t="shared" si="11"/>
        <v>119</v>
      </c>
      <c r="H44" s="834">
        <f t="shared" si="11"/>
        <v>0</v>
      </c>
      <c r="I44" s="834">
        <f t="shared" si="11"/>
        <v>0</v>
      </c>
      <c r="J44" s="834">
        <f t="shared" si="11"/>
        <v>0</v>
      </c>
      <c r="K44" s="834">
        <f t="shared" si="11"/>
        <v>0</v>
      </c>
      <c r="L44" s="834">
        <f t="shared" si="11"/>
        <v>0</v>
      </c>
      <c r="M44" s="834">
        <f t="shared" si="11"/>
        <v>0</v>
      </c>
      <c r="N44" s="834">
        <f t="shared" si="11"/>
        <v>0</v>
      </c>
      <c r="O44" s="834">
        <f t="shared" si="11"/>
        <v>0</v>
      </c>
      <c r="P44" s="834">
        <f t="shared" si="11"/>
        <v>3551</v>
      </c>
      <c r="Q44" s="834">
        <f t="shared" si="11"/>
        <v>40</v>
      </c>
      <c r="R44" s="838">
        <f t="shared" si="2"/>
        <v>7.0904109589041093</v>
      </c>
      <c r="S44" s="834">
        <f t="shared" si="11"/>
        <v>18</v>
      </c>
      <c r="T44" s="834">
        <f t="shared" si="11"/>
        <v>2588</v>
      </c>
      <c r="U44" s="834">
        <f t="shared" si="11"/>
        <v>0</v>
      </c>
      <c r="V44" s="834">
        <f t="shared" si="11"/>
        <v>400</v>
      </c>
      <c r="W44" s="834">
        <f t="shared" si="11"/>
        <v>17443</v>
      </c>
      <c r="X44" s="834">
        <f t="shared" si="11"/>
        <v>1</v>
      </c>
      <c r="Y44" s="834">
        <f t="shared" si="11"/>
        <v>0</v>
      </c>
      <c r="Z44" s="834">
        <f t="shared" si="11"/>
        <v>0</v>
      </c>
      <c r="AA44" s="834">
        <f t="shared" si="11"/>
        <v>6</v>
      </c>
      <c r="AB44" s="834">
        <f t="shared" si="11"/>
        <v>0</v>
      </c>
      <c r="AC44" s="834">
        <f t="shared" si="11"/>
        <v>1</v>
      </c>
      <c r="AD44" s="834">
        <f t="shared" si="11"/>
        <v>1</v>
      </c>
      <c r="AE44" s="834">
        <f t="shared" si="11"/>
        <v>0</v>
      </c>
      <c r="AF44" s="834">
        <f t="shared" si="11"/>
        <v>0</v>
      </c>
      <c r="AG44" s="834">
        <f t="shared" si="11"/>
        <v>0</v>
      </c>
      <c r="AH44" s="834">
        <f t="shared" si="11"/>
        <v>0</v>
      </c>
      <c r="AI44" s="834">
        <f t="shared" si="11"/>
        <v>1</v>
      </c>
      <c r="AJ44" s="834">
        <f t="shared" si="11"/>
        <v>0</v>
      </c>
      <c r="AK44" s="834">
        <f t="shared" si="11"/>
        <v>0</v>
      </c>
      <c r="AL44" s="834">
        <f t="shared" si="11"/>
        <v>0</v>
      </c>
      <c r="AM44" s="834">
        <f t="shared" si="11"/>
        <v>0</v>
      </c>
      <c r="AN44" s="834">
        <f t="shared" si="11"/>
        <v>0</v>
      </c>
      <c r="AO44" s="834">
        <f t="shared" si="11"/>
        <v>0</v>
      </c>
    </row>
    <row r="45" spans="1:44" ht="15.75">
      <c r="A45" s="836">
        <v>29</v>
      </c>
      <c r="B45" s="859" t="s">
        <v>623</v>
      </c>
      <c r="C45" s="836">
        <v>834</v>
      </c>
      <c r="D45" s="780">
        <v>20</v>
      </c>
      <c r="E45" s="780">
        <v>12</v>
      </c>
      <c r="F45" s="780">
        <v>324</v>
      </c>
      <c r="G45" s="780">
        <v>88</v>
      </c>
      <c r="H45" s="780"/>
      <c r="I45" s="780"/>
      <c r="J45" s="780"/>
      <c r="K45" s="780"/>
      <c r="L45" s="780"/>
      <c r="M45" s="780"/>
      <c r="N45" s="780"/>
      <c r="O45" s="780"/>
      <c r="P45" s="780">
        <v>3551</v>
      </c>
      <c r="Q45" s="780">
        <v>40</v>
      </c>
      <c r="R45" s="838"/>
      <c r="S45" s="780"/>
      <c r="T45" s="780"/>
      <c r="U45" s="780"/>
      <c r="V45" s="780">
        <v>300</v>
      </c>
      <c r="W45" s="780">
        <v>7078</v>
      </c>
      <c r="X45" s="780">
        <v>1</v>
      </c>
      <c r="Y45" s="780"/>
      <c r="Z45" s="780"/>
      <c r="AA45" s="780">
        <v>6</v>
      </c>
      <c r="AB45" s="780"/>
      <c r="AC45" s="780">
        <v>1</v>
      </c>
      <c r="AD45" s="780">
        <v>1</v>
      </c>
      <c r="AE45" s="780"/>
      <c r="AF45" s="780"/>
      <c r="AG45" s="780"/>
      <c r="AH45" s="780"/>
      <c r="AI45" s="780">
        <v>1</v>
      </c>
      <c r="AJ45" s="780"/>
      <c r="AK45" s="780"/>
      <c r="AL45" s="780"/>
      <c r="AM45" s="780"/>
      <c r="AN45" s="780"/>
      <c r="AO45" s="780"/>
    </row>
    <row r="46" spans="1:44" ht="15.75">
      <c r="A46" s="836">
        <v>30</v>
      </c>
      <c r="B46" s="859" t="s">
        <v>711</v>
      </c>
      <c r="C46" s="836">
        <v>63</v>
      </c>
      <c r="D46" s="780"/>
      <c r="E46" s="780"/>
      <c r="F46" s="780"/>
      <c r="G46" s="780"/>
      <c r="H46" s="780"/>
      <c r="I46" s="780"/>
      <c r="J46" s="780"/>
      <c r="K46" s="780"/>
      <c r="L46" s="780"/>
      <c r="M46" s="780"/>
      <c r="N46" s="780"/>
      <c r="O46" s="780"/>
      <c r="P46" s="780"/>
      <c r="Q46" s="780"/>
      <c r="R46" s="838"/>
      <c r="S46" s="780"/>
      <c r="T46" s="780"/>
      <c r="U46" s="780"/>
      <c r="V46" s="780"/>
      <c r="W46" s="780">
        <v>3800</v>
      </c>
      <c r="X46" s="780"/>
      <c r="Y46" s="780"/>
      <c r="Z46" s="780"/>
      <c r="AA46" s="780"/>
      <c r="AB46" s="780"/>
      <c r="AC46" s="780"/>
      <c r="AD46" s="780"/>
      <c r="AE46" s="780"/>
      <c r="AF46" s="780"/>
      <c r="AG46" s="780"/>
      <c r="AH46" s="780"/>
      <c r="AI46" s="780"/>
      <c r="AJ46" s="780"/>
      <c r="AK46" s="780"/>
      <c r="AL46" s="780"/>
      <c r="AM46" s="780"/>
      <c r="AN46" s="780"/>
      <c r="AO46" s="780"/>
    </row>
    <row r="47" spans="1:44" ht="15.75">
      <c r="A47" s="836">
        <v>31</v>
      </c>
      <c r="B47" s="859" t="s">
        <v>712</v>
      </c>
      <c r="C47" s="836">
        <v>185</v>
      </c>
      <c r="D47" s="780"/>
      <c r="E47" s="780"/>
      <c r="F47" s="780">
        <v>120</v>
      </c>
      <c r="G47" s="780">
        <v>31</v>
      </c>
      <c r="H47" s="780"/>
      <c r="I47" s="780"/>
      <c r="J47" s="780"/>
      <c r="K47" s="780"/>
      <c r="L47" s="780"/>
      <c r="M47" s="780"/>
      <c r="N47" s="780"/>
      <c r="O47" s="780"/>
      <c r="P47" s="780"/>
      <c r="Q47" s="780"/>
      <c r="R47" s="838">
        <f t="shared" si="2"/>
        <v>7.0904109589041093</v>
      </c>
      <c r="S47" s="780">
        <v>18</v>
      </c>
      <c r="T47" s="780">
        <v>2588</v>
      </c>
      <c r="U47" s="780"/>
      <c r="V47" s="780">
        <v>100</v>
      </c>
      <c r="W47" s="780">
        <v>6565</v>
      </c>
      <c r="X47" s="780"/>
      <c r="Y47" s="780"/>
      <c r="Z47" s="780"/>
      <c r="AA47" s="780"/>
      <c r="AB47" s="780"/>
      <c r="AC47" s="780"/>
      <c r="AD47" s="780"/>
      <c r="AE47" s="780"/>
      <c r="AF47" s="780"/>
      <c r="AG47" s="780"/>
      <c r="AH47" s="780"/>
      <c r="AI47" s="780"/>
      <c r="AJ47" s="780"/>
      <c r="AK47" s="780"/>
      <c r="AL47" s="780"/>
      <c r="AM47" s="780"/>
      <c r="AN47" s="780"/>
      <c r="AO47" s="780"/>
    </row>
    <row r="48" spans="1:44" ht="15.75">
      <c r="A48" s="836"/>
      <c r="B48" s="860" t="s">
        <v>713</v>
      </c>
      <c r="C48" s="843">
        <f>SUM(C49:C52)</f>
        <v>1192</v>
      </c>
      <c r="D48" s="843">
        <f t="shared" ref="D48:AP48" si="12">SUM(D49:D52)</f>
        <v>26</v>
      </c>
      <c r="E48" s="843">
        <f t="shared" si="12"/>
        <v>15</v>
      </c>
      <c r="F48" s="843">
        <f t="shared" si="12"/>
        <v>264</v>
      </c>
      <c r="G48" s="843">
        <f t="shared" si="12"/>
        <v>84</v>
      </c>
      <c r="H48" s="843">
        <f t="shared" si="12"/>
        <v>0</v>
      </c>
      <c r="I48" s="843">
        <f t="shared" si="12"/>
        <v>0</v>
      </c>
      <c r="J48" s="843">
        <f t="shared" si="12"/>
        <v>0</v>
      </c>
      <c r="K48" s="843">
        <f t="shared" si="12"/>
        <v>0</v>
      </c>
      <c r="L48" s="843">
        <f t="shared" si="12"/>
        <v>0</v>
      </c>
      <c r="M48" s="843">
        <f t="shared" si="12"/>
        <v>0</v>
      </c>
      <c r="N48" s="843">
        <f t="shared" si="12"/>
        <v>0</v>
      </c>
      <c r="O48" s="843">
        <f t="shared" si="12"/>
        <v>0</v>
      </c>
      <c r="P48" s="843">
        <f t="shared" si="12"/>
        <v>0</v>
      </c>
      <c r="Q48" s="843">
        <f t="shared" si="12"/>
        <v>0</v>
      </c>
      <c r="R48" s="838">
        <f t="shared" si="2"/>
        <v>30.076712328767123</v>
      </c>
      <c r="S48" s="843">
        <f t="shared" si="12"/>
        <v>18</v>
      </c>
      <c r="T48" s="843">
        <f t="shared" si="12"/>
        <v>10978</v>
      </c>
      <c r="U48" s="843">
        <f t="shared" si="12"/>
        <v>0</v>
      </c>
      <c r="V48" s="843">
        <f t="shared" si="12"/>
        <v>400</v>
      </c>
      <c r="W48" s="843">
        <f t="shared" si="12"/>
        <v>24752</v>
      </c>
      <c r="X48" s="843">
        <f t="shared" si="12"/>
        <v>1</v>
      </c>
      <c r="Y48" s="843">
        <f t="shared" si="12"/>
        <v>0</v>
      </c>
      <c r="Z48" s="843">
        <f t="shared" si="12"/>
        <v>0</v>
      </c>
      <c r="AA48" s="843">
        <f t="shared" si="12"/>
        <v>11</v>
      </c>
      <c r="AB48" s="843">
        <f t="shared" si="12"/>
        <v>0</v>
      </c>
      <c r="AC48" s="843">
        <f t="shared" si="12"/>
        <v>1</v>
      </c>
      <c r="AD48" s="843">
        <f t="shared" si="12"/>
        <v>0</v>
      </c>
      <c r="AE48" s="843">
        <f t="shared" si="12"/>
        <v>0</v>
      </c>
      <c r="AF48" s="843">
        <f t="shared" si="12"/>
        <v>0</v>
      </c>
      <c r="AG48" s="843">
        <f t="shared" si="12"/>
        <v>0</v>
      </c>
      <c r="AH48" s="843">
        <f t="shared" si="12"/>
        <v>0</v>
      </c>
      <c r="AI48" s="843">
        <f t="shared" si="12"/>
        <v>1</v>
      </c>
      <c r="AJ48" s="843">
        <f t="shared" si="12"/>
        <v>0</v>
      </c>
      <c r="AK48" s="843">
        <f t="shared" si="12"/>
        <v>240</v>
      </c>
      <c r="AL48" s="843">
        <f t="shared" si="12"/>
        <v>0</v>
      </c>
      <c r="AM48" s="843">
        <f t="shared" si="12"/>
        <v>0</v>
      </c>
      <c r="AN48" s="843">
        <f t="shared" si="12"/>
        <v>0</v>
      </c>
      <c r="AO48" s="843">
        <f t="shared" si="12"/>
        <v>0</v>
      </c>
      <c r="AP48" s="843">
        <f t="shared" si="12"/>
        <v>1</v>
      </c>
    </row>
    <row r="49" spans="1:45" ht="15.75">
      <c r="A49" s="836">
        <v>32</v>
      </c>
      <c r="B49" s="859" t="s">
        <v>714</v>
      </c>
      <c r="C49" s="844">
        <v>511</v>
      </c>
      <c r="D49" s="780">
        <v>26</v>
      </c>
      <c r="E49" s="780">
        <v>15</v>
      </c>
      <c r="F49" s="780">
        <v>192</v>
      </c>
      <c r="G49" s="780">
        <v>53</v>
      </c>
      <c r="H49" s="780"/>
      <c r="I49" s="780"/>
      <c r="J49" s="780"/>
      <c r="K49" s="780"/>
      <c r="L49" s="780"/>
      <c r="M49" s="780"/>
      <c r="N49" s="780"/>
      <c r="O49" s="780"/>
      <c r="P49" s="780"/>
      <c r="Q49" s="780"/>
      <c r="R49" s="838">
        <f t="shared" si="2"/>
        <v>9.3150684931506849</v>
      </c>
      <c r="S49" s="780">
        <v>3</v>
      </c>
      <c r="T49" s="780">
        <v>3400</v>
      </c>
      <c r="U49" s="780"/>
      <c r="V49" s="780">
        <v>150</v>
      </c>
      <c r="W49" s="780">
        <v>8595</v>
      </c>
      <c r="X49" s="780">
        <v>1</v>
      </c>
      <c r="Y49" s="780"/>
      <c r="Z49" s="780"/>
      <c r="AA49" s="780">
        <v>6</v>
      </c>
      <c r="AB49" s="780"/>
      <c r="AC49" s="780">
        <v>1</v>
      </c>
      <c r="AD49" s="780"/>
      <c r="AE49" s="780"/>
      <c r="AF49" s="780"/>
      <c r="AG49" s="780"/>
      <c r="AH49" s="780"/>
      <c r="AI49" s="780">
        <v>1</v>
      </c>
      <c r="AJ49" s="780"/>
      <c r="AK49" s="780">
        <v>240</v>
      </c>
      <c r="AL49" s="780"/>
      <c r="AM49" s="780"/>
      <c r="AN49" s="780"/>
      <c r="AO49" s="780"/>
      <c r="AP49">
        <v>1</v>
      </c>
    </row>
    <row r="50" spans="1:45" ht="15.75">
      <c r="A50" s="836">
        <v>33</v>
      </c>
      <c r="B50" s="859" t="s">
        <v>715</v>
      </c>
      <c r="C50" s="844">
        <v>40</v>
      </c>
      <c r="D50" s="780"/>
      <c r="E50" s="780"/>
      <c r="F50" s="780"/>
      <c r="G50" s="780"/>
      <c r="H50" s="780"/>
      <c r="I50" s="780"/>
      <c r="J50" s="780"/>
      <c r="K50" s="780"/>
      <c r="L50" s="780"/>
      <c r="M50" s="780"/>
      <c r="N50" s="780"/>
      <c r="O50" s="780"/>
      <c r="P50" s="780"/>
      <c r="Q50" s="780"/>
      <c r="R50" s="838"/>
      <c r="S50" s="780"/>
      <c r="T50" s="780"/>
      <c r="U50" s="780"/>
      <c r="V50" s="780"/>
      <c r="W50" s="780"/>
      <c r="X50" s="780"/>
      <c r="Y50" s="780"/>
      <c r="Z50" s="780"/>
      <c r="AA50" s="780"/>
      <c r="AB50" s="780"/>
      <c r="AC50" s="780"/>
      <c r="AD50" s="780"/>
      <c r="AE50" s="780"/>
      <c r="AF50" s="780"/>
      <c r="AG50" s="780"/>
      <c r="AH50" s="780"/>
      <c r="AI50" s="780"/>
      <c r="AJ50" s="780"/>
      <c r="AK50" s="780"/>
      <c r="AL50" s="780"/>
      <c r="AM50" s="780"/>
      <c r="AN50" s="780"/>
      <c r="AO50" s="780"/>
    </row>
    <row r="51" spans="1:45" ht="15.75">
      <c r="A51" s="836">
        <v>34</v>
      </c>
      <c r="B51" s="859" t="s">
        <v>625</v>
      </c>
      <c r="C51" s="844">
        <v>350</v>
      </c>
      <c r="D51" s="780"/>
      <c r="E51" s="780"/>
      <c r="F51" s="780">
        <v>40</v>
      </c>
      <c r="G51" s="780">
        <v>20</v>
      </c>
      <c r="H51" s="780"/>
      <c r="I51" s="780"/>
      <c r="J51" s="780"/>
      <c r="K51" s="780"/>
      <c r="L51" s="780"/>
      <c r="M51" s="780"/>
      <c r="N51" s="780"/>
      <c r="O51" s="780"/>
      <c r="P51" s="780"/>
      <c r="Q51" s="780"/>
      <c r="R51" s="838">
        <f t="shared" si="2"/>
        <v>14.134246575342466</v>
      </c>
      <c r="S51" s="780">
        <v>9</v>
      </c>
      <c r="T51" s="780">
        <v>5159</v>
      </c>
      <c r="U51" s="780"/>
      <c r="V51" s="780">
        <v>150</v>
      </c>
      <c r="W51" s="780">
        <v>6530</v>
      </c>
      <c r="X51" s="780"/>
      <c r="Y51" s="780"/>
      <c r="Z51" s="780"/>
      <c r="AA51" s="780">
        <v>3</v>
      </c>
      <c r="AB51" s="780"/>
      <c r="AC51" s="780"/>
      <c r="AD51" s="780"/>
      <c r="AE51" s="780"/>
      <c r="AF51" s="780"/>
      <c r="AG51" s="780"/>
      <c r="AH51" s="780"/>
      <c r="AI51" s="780"/>
      <c r="AJ51" s="780"/>
      <c r="AK51" s="780"/>
      <c r="AL51" s="780"/>
      <c r="AM51" s="780"/>
      <c r="AN51" s="780"/>
      <c r="AO51" s="780"/>
    </row>
    <row r="52" spans="1:45" ht="15.75">
      <c r="A52" s="836">
        <v>35</v>
      </c>
      <c r="B52" s="859" t="s">
        <v>624</v>
      </c>
      <c r="C52" s="844">
        <v>291</v>
      </c>
      <c r="D52" s="780"/>
      <c r="E52" s="780"/>
      <c r="F52" s="780">
        <v>32</v>
      </c>
      <c r="G52" s="780">
        <v>11</v>
      </c>
      <c r="H52" s="780"/>
      <c r="I52" s="780"/>
      <c r="J52" s="780"/>
      <c r="K52" s="780"/>
      <c r="L52" s="780"/>
      <c r="M52" s="780"/>
      <c r="N52" s="780"/>
      <c r="O52" s="780"/>
      <c r="P52" s="780"/>
      <c r="Q52" s="780"/>
      <c r="R52" s="838">
        <f t="shared" si="2"/>
        <v>6.6273972602739724</v>
      </c>
      <c r="S52" s="780">
        <v>6</v>
      </c>
      <c r="T52" s="780">
        <v>2419</v>
      </c>
      <c r="U52" s="780"/>
      <c r="V52" s="780">
        <v>100</v>
      </c>
      <c r="W52" s="780">
        <v>9627</v>
      </c>
      <c r="X52" s="780"/>
      <c r="Y52" s="780"/>
      <c r="Z52" s="780"/>
      <c r="AA52" s="780">
        <v>2</v>
      </c>
      <c r="AB52" s="780"/>
      <c r="AC52" s="780"/>
      <c r="AD52" s="780"/>
      <c r="AE52" s="780"/>
      <c r="AF52" s="780"/>
      <c r="AG52" s="780"/>
      <c r="AH52" s="780"/>
      <c r="AI52" s="780"/>
      <c r="AJ52" s="780"/>
      <c r="AK52" s="780"/>
      <c r="AL52" s="780"/>
      <c r="AM52" s="780"/>
      <c r="AN52" s="780"/>
      <c r="AO52" s="780"/>
    </row>
    <row r="53" spans="1:45" ht="15.75">
      <c r="A53" s="1351" t="s">
        <v>716</v>
      </c>
      <c r="B53" s="1351"/>
      <c r="C53" s="834">
        <f t="shared" ref="C53:AS53" si="13">C4+C5+C10+C13+C17+C20+C23+C27+C33+C39+C44+C48</f>
        <v>19506</v>
      </c>
      <c r="D53" s="834">
        <f t="shared" si="13"/>
        <v>435</v>
      </c>
      <c r="E53" s="834">
        <f t="shared" si="13"/>
        <v>259</v>
      </c>
      <c r="F53" s="834">
        <f t="shared" si="13"/>
        <v>4265</v>
      </c>
      <c r="G53" s="834">
        <f t="shared" si="13"/>
        <v>2297</v>
      </c>
      <c r="H53" s="834">
        <f t="shared" si="13"/>
        <v>1</v>
      </c>
      <c r="I53" s="834">
        <f t="shared" si="13"/>
        <v>1</v>
      </c>
      <c r="J53" s="834">
        <f t="shared" si="13"/>
        <v>0</v>
      </c>
      <c r="K53" s="834">
        <f t="shared" si="13"/>
        <v>114</v>
      </c>
      <c r="L53" s="834">
        <f t="shared" si="13"/>
        <v>180</v>
      </c>
      <c r="M53" s="834">
        <f t="shared" si="13"/>
        <v>134</v>
      </c>
      <c r="N53" s="834">
        <f t="shared" si="13"/>
        <v>166</v>
      </c>
      <c r="O53" s="834">
        <f t="shared" si="13"/>
        <v>17626</v>
      </c>
      <c r="P53" s="834">
        <f t="shared" si="13"/>
        <v>6893</v>
      </c>
      <c r="Q53" s="834">
        <f t="shared" si="13"/>
        <v>76</v>
      </c>
      <c r="R53" s="845">
        <f t="shared" si="13"/>
        <v>212.39999999999998</v>
      </c>
      <c r="S53" s="834">
        <f t="shared" si="13"/>
        <v>154</v>
      </c>
      <c r="T53" s="834">
        <f t="shared" si="13"/>
        <v>77526</v>
      </c>
      <c r="U53" s="834">
        <f t="shared" si="13"/>
        <v>5</v>
      </c>
      <c r="V53" s="834">
        <f t="shared" si="13"/>
        <v>2960</v>
      </c>
      <c r="W53" s="834">
        <f t="shared" si="13"/>
        <v>223877</v>
      </c>
      <c r="X53" s="834">
        <f t="shared" si="13"/>
        <v>16</v>
      </c>
      <c r="Y53" s="834">
        <f t="shared" si="13"/>
        <v>2</v>
      </c>
      <c r="Z53" s="834">
        <f t="shared" si="13"/>
        <v>1</v>
      </c>
      <c r="AA53" s="834">
        <f t="shared" si="13"/>
        <v>109</v>
      </c>
      <c r="AB53" s="834">
        <f t="shared" si="13"/>
        <v>65</v>
      </c>
      <c r="AC53" s="834">
        <f t="shared" si="13"/>
        <v>15</v>
      </c>
      <c r="AD53" s="834">
        <f t="shared" si="13"/>
        <v>8</v>
      </c>
      <c r="AE53" s="834">
        <f t="shared" si="13"/>
        <v>15</v>
      </c>
      <c r="AF53" s="834">
        <f t="shared" si="13"/>
        <v>0</v>
      </c>
      <c r="AG53" s="834">
        <f t="shared" si="13"/>
        <v>2</v>
      </c>
      <c r="AH53" s="834">
        <f t="shared" si="13"/>
        <v>1</v>
      </c>
      <c r="AI53" s="834">
        <f t="shared" si="13"/>
        <v>12</v>
      </c>
      <c r="AJ53" s="834">
        <f t="shared" si="13"/>
        <v>2</v>
      </c>
      <c r="AK53" s="834">
        <f t="shared" si="13"/>
        <v>240</v>
      </c>
      <c r="AL53" s="834">
        <f t="shared" si="13"/>
        <v>110</v>
      </c>
      <c r="AM53" s="834">
        <f t="shared" si="13"/>
        <v>110</v>
      </c>
      <c r="AN53" s="834">
        <f t="shared" si="13"/>
        <v>1</v>
      </c>
      <c r="AO53" s="834">
        <f t="shared" si="13"/>
        <v>1</v>
      </c>
      <c r="AP53" s="834">
        <f t="shared" si="13"/>
        <v>1</v>
      </c>
      <c r="AQ53" s="834">
        <f t="shared" si="13"/>
        <v>1</v>
      </c>
      <c r="AR53" s="834">
        <f t="shared" si="13"/>
        <v>0</v>
      </c>
      <c r="AS53" s="834">
        <f t="shared" si="13"/>
        <v>0</v>
      </c>
    </row>
    <row r="54" spans="1:45">
      <c r="R54" s="846"/>
    </row>
    <row r="55" spans="1:45">
      <c r="F55">
        <v>2297</v>
      </c>
      <c r="G55">
        <v>4163</v>
      </c>
      <c r="R55" s="846"/>
    </row>
    <row r="56" spans="1:45">
      <c r="R56" s="846"/>
    </row>
    <row r="57" spans="1:45">
      <c r="B57" s="847"/>
      <c r="R57" s="846"/>
    </row>
    <row r="58" spans="1:45">
      <c r="B58" s="847"/>
      <c r="R58" s="846"/>
    </row>
    <row r="59" spans="1:45">
      <c r="B59" s="847"/>
      <c r="R59" s="846"/>
    </row>
    <row r="60" spans="1:45">
      <c r="R60" s="846"/>
    </row>
    <row r="61" spans="1:45" ht="15.75" thickBot="1">
      <c r="R61" s="846"/>
    </row>
    <row r="62" spans="1:45" ht="16.5" thickBot="1">
      <c r="A62" s="1344" t="s">
        <v>68</v>
      </c>
      <c r="B62" s="1344" t="s">
        <v>159</v>
      </c>
      <c r="C62" s="1344" t="s">
        <v>717</v>
      </c>
      <c r="D62" s="1344" t="s">
        <v>718</v>
      </c>
      <c r="E62" s="1346" t="s">
        <v>160</v>
      </c>
      <c r="F62" s="1352"/>
      <c r="G62" s="1347"/>
      <c r="H62" s="815"/>
      <c r="I62" s="815"/>
      <c r="J62" s="815"/>
      <c r="K62" s="815"/>
      <c r="L62" s="815"/>
      <c r="M62" s="815"/>
      <c r="N62" s="815"/>
      <c r="O62" s="815"/>
      <c r="R62" s="846"/>
    </row>
    <row r="63" spans="1:45" ht="48" thickBot="1">
      <c r="A63" s="1345"/>
      <c r="B63" s="1345"/>
      <c r="C63" s="1345"/>
      <c r="D63" s="1345"/>
      <c r="E63" s="848" t="s">
        <v>161</v>
      </c>
      <c r="F63" s="848" t="s">
        <v>162</v>
      </c>
      <c r="G63" s="848" t="s">
        <v>163</v>
      </c>
      <c r="H63" s="815"/>
      <c r="I63" s="815"/>
      <c r="J63" s="815"/>
      <c r="K63" s="815"/>
      <c r="L63" s="815"/>
      <c r="M63" s="815"/>
      <c r="N63" s="815"/>
      <c r="O63" s="815"/>
      <c r="R63" s="846"/>
    </row>
    <row r="64" spans="1:45" ht="16.5" thickBot="1">
      <c r="A64" s="849">
        <v>1</v>
      </c>
      <c r="B64" s="848">
        <v>2</v>
      </c>
      <c r="C64" s="848">
        <v>3</v>
      </c>
      <c r="D64" s="848">
        <v>4</v>
      </c>
      <c r="E64" s="848">
        <v>5</v>
      </c>
      <c r="F64" s="848">
        <v>6</v>
      </c>
      <c r="G64" s="848">
        <v>7</v>
      </c>
      <c r="H64" s="815"/>
      <c r="I64" s="815"/>
      <c r="J64" s="815"/>
      <c r="K64" s="815"/>
      <c r="L64" s="815"/>
      <c r="M64" s="815"/>
      <c r="N64" s="815"/>
      <c r="O64" s="815"/>
      <c r="R64" s="846"/>
    </row>
    <row r="65" spans="1:18" ht="32.25" thickBot="1">
      <c r="A65" s="849">
        <v>1</v>
      </c>
      <c r="B65" s="852" t="s">
        <v>147</v>
      </c>
      <c r="C65" s="848" t="s">
        <v>719</v>
      </c>
      <c r="D65" s="848">
        <v>7</v>
      </c>
      <c r="E65" s="853"/>
      <c r="F65" s="853">
        <v>1</v>
      </c>
      <c r="G65" s="853">
        <v>6</v>
      </c>
      <c r="H65" s="815"/>
      <c r="I65" s="815"/>
      <c r="J65" s="815"/>
      <c r="K65" s="815"/>
      <c r="L65" s="815"/>
      <c r="M65" s="815"/>
      <c r="N65" s="815"/>
      <c r="O65" s="815"/>
      <c r="R65" s="846"/>
    </row>
    <row r="66" spans="1:18" ht="16.5" thickBot="1">
      <c r="A66" s="849">
        <v>2</v>
      </c>
      <c r="B66" s="852" t="s">
        <v>720</v>
      </c>
      <c r="C66" s="848" t="s">
        <v>719</v>
      </c>
      <c r="D66" s="848">
        <v>22</v>
      </c>
      <c r="E66" s="853">
        <v>3</v>
      </c>
      <c r="F66" s="853">
        <v>5</v>
      </c>
      <c r="G66" s="853">
        <v>14</v>
      </c>
      <c r="H66" s="815"/>
      <c r="I66" s="815"/>
      <c r="J66" s="815"/>
      <c r="K66" s="815"/>
      <c r="L66" s="815"/>
      <c r="M66" s="815"/>
      <c r="N66" s="815"/>
      <c r="O66" s="815"/>
      <c r="R66" s="846"/>
    </row>
    <row r="67" spans="1:18" ht="30" customHeight="1" thickBot="1">
      <c r="A67" s="849">
        <v>3</v>
      </c>
      <c r="B67" s="852" t="s">
        <v>148</v>
      </c>
      <c r="C67" s="848" t="s">
        <v>719</v>
      </c>
      <c r="D67" s="848">
        <v>3</v>
      </c>
      <c r="E67" s="855" t="s">
        <v>641</v>
      </c>
      <c r="F67" s="855" t="s">
        <v>641</v>
      </c>
      <c r="G67" s="853">
        <v>1</v>
      </c>
      <c r="H67" s="815"/>
      <c r="I67" s="815"/>
      <c r="J67" s="815"/>
      <c r="K67" s="815"/>
      <c r="L67" s="815"/>
      <c r="M67" s="815"/>
      <c r="N67" s="815"/>
      <c r="O67" s="815"/>
      <c r="R67" s="846"/>
    </row>
    <row r="68" spans="1:18" ht="49.5" customHeight="1" thickBot="1">
      <c r="A68" s="849">
        <v>5</v>
      </c>
      <c r="B68" s="852" t="s">
        <v>721</v>
      </c>
      <c r="C68" s="848" t="s">
        <v>719</v>
      </c>
      <c r="D68" s="848">
        <v>1</v>
      </c>
      <c r="E68" s="855" t="s">
        <v>722</v>
      </c>
      <c r="F68" s="855"/>
      <c r="G68" s="853"/>
      <c r="H68" s="815"/>
      <c r="I68" s="815"/>
      <c r="J68" s="815"/>
      <c r="K68" s="815"/>
      <c r="L68" s="815"/>
      <c r="M68" s="815"/>
      <c r="N68" s="815"/>
      <c r="O68" s="815"/>
      <c r="R68" s="846"/>
    </row>
    <row r="69" spans="1:18" ht="17.25" customHeight="1" thickBot="1">
      <c r="A69" s="849">
        <v>6</v>
      </c>
      <c r="B69" s="852" t="s">
        <v>149</v>
      </c>
      <c r="C69" s="848" t="s">
        <v>719</v>
      </c>
      <c r="D69" s="848">
        <v>27</v>
      </c>
      <c r="E69" s="855" t="s">
        <v>641</v>
      </c>
      <c r="F69" s="855"/>
      <c r="G69" s="853"/>
      <c r="H69" s="815"/>
      <c r="I69" s="815"/>
      <c r="J69" s="856"/>
      <c r="K69" s="815"/>
      <c r="L69" s="815"/>
      <c r="M69" s="815"/>
      <c r="N69" s="815"/>
      <c r="O69" s="815"/>
      <c r="R69" s="846"/>
    </row>
    <row r="70" spans="1:18" ht="17.25" customHeight="1" thickBot="1">
      <c r="A70" s="849">
        <v>7</v>
      </c>
      <c r="B70" s="852" t="s">
        <v>150</v>
      </c>
      <c r="C70" s="848" t="s">
        <v>719</v>
      </c>
      <c r="D70" s="848">
        <v>1</v>
      </c>
      <c r="E70" s="855" t="s">
        <v>641</v>
      </c>
      <c r="F70" s="855"/>
      <c r="G70" s="853"/>
      <c r="H70" s="815"/>
      <c r="I70" s="815"/>
      <c r="J70" s="815"/>
      <c r="K70" s="815"/>
      <c r="L70" s="815"/>
      <c r="M70" s="815"/>
      <c r="N70" s="815"/>
      <c r="O70" s="815"/>
      <c r="R70" s="846"/>
    </row>
    <row r="71" spans="1:18" ht="30.75" customHeight="1" thickBot="1">
      <c r="A71" s="849">
        <v>8</v>
      </c>
      <c r="B71" s="852" t="s">
        <v>151</v>
      </c>
      <c r="C71" s="848" t="s">
        <v>719</v>
      </c>
      <c r="D71" s="848">
        <v>23</v>
      </c>
      <c r="E71" s="855" t="s">
        <v>641</v>
      </c>
      <c r="F71" s="855"/>
      <c r="G71" s="853"/>
      <c r="H71" s="815"/>
      <c r="I71" s="815"/>
      <c r="J71" s="815"/>
      <c r="K71" s="815"/>
      <c r="L71" s="815"/>
      <c r="M71" s="815"/>
      <c r="N71" s="815"/>
      <c r="O71" s="815"/>
      <c r="R71" s="846"/>
    </row>
    <row r="72" spans="1:18" ht="24" customHeight="1" thickBot="1">
      <c r="A72" s="849">
        <v>9</v>
      </c>
      <c r="B72" s="852" t="s">
        <v>723</v>
      </c>
      <c r="C72" s="848" t="s">
        <v>719</v>
      </c>
      <c r="D72" s="848">
        <v>18</v>
      </c>
      <c r="E72" s="855" t="s">
        <v>641</v>
      </c>
      <c r="F72" s="855"/>
      <c r="G72" s="853"/>
      <c r="H72" s="815"/>
      <c r="I72" s="815"/>
      <c r="J72" s="815"/>
      <c r="K72" s="815"/>
      <c r="L72" s="815"/>
      <c r="M72" s="815"/>
      <c r="N72" s="815"/>
      <c r="O72" s="815"/>
      <c r="R72" s="846"/>
    </row>
    <row r="73" spans="1:18" ht="32.25" thickBot="1">
      <c r="A73" s="849">
        <v>10</v>
      </c>
      <c r="B73" s="852" t="s">
        <v>155</v>
      </c>
      <c r="C73" s="850"/>
      <c r="D73" s="848"/>
      <c r="E73" s="853"/>
      <c r="F73" s="853"/>
      <c r="G73" s="853"/>
      <c r="H73" s="815"/>
      <c r="I73" s="815"/>
      <c r="J73" s="815"/>
      <c r="K73" s="815"/>
      <c r="L73" s="815"/>
      <c r="M73" s="815"/>
      <c r="N73" s="815"/>
      <c r="O73" s="815"/>
      <c r="R73" s="846"/>
    </row>
    <row r="74" spans="1:18" ht="16.5" thickBot="1">
      <c r="A74" s="851"/>
      <c r="B74" s="852" t="s">
        <v>156</v>
      </c>
      <c r="C74" s="848" t="s">
        <v>719</v>
      </c>
      <c r="D74" s="848">
        <v>2</v>
      </c>
      <c r="E74" s="853"/>
      <c r="F74" s="853"/>
      <c r="G74" s="853">
        <v>2</v>
      </c>
      <c r="H74" s="815"/>
      <c r="I74" s="815"/>
      <c r="J74" s="815"/>
      <c r="K74" s="815"/>
      <c r="L74" s="815"/>
      <c r="M74" s="815"/>
      <c r="N74" s="815"/>
      <c r="O74" s="815"/>
      <c r="R74" s="846"/>
    </row>
    <row r="75" spans="1:18" ht="48" thickBot="1">
      <c r="A75" s="849"/>
      <c r="B75" s="852" t="s">
        <v>157</v>
      </c>
      <c r="C75" s="848" t="s">
        <v>719</v>
      </c>
      <c r="D75" s="848">
        <v>2</v>
      </c>
      <c r="E75" s="853"/>
      <c r="F75" s="853">
        <v>1</v>
      </c>
      <c r="G75" s="853">
        <v>1</v>
      </c>
      <c r="H75" s="815"/>
      <c r="I75" s="815">
        <v>223877</v>
      </c>
      <c r="J75" s="815"/>
      <c r="K75" s="815"/>
      <c r="L75" s="815"/>
      <c r="M75" s="815"/>
      <c r="N75" s="815"/>
      <c r="O75" s="815"/>
      <c r="R75" s="846"/>
    </row>
    <row r="76" spans="1:18" ht="32.25" thickBot="1">
      <c r="A76" s="849"/>
      <c r="B76" s="852" t="s">
        <v>158</v>
      </c>
      <c r="C76" s="848" t="s">
        <v>719</v>
      </c>
      <c r="D76" s="848">
        <v>22</v>
      </c>
      <c r="E76" s="854">
        <v>3</v>
      </c>
      <c r="F76" s="854">
        <v>7</v>
      </c>
      <c r="G76" s="854">
        <v>12</v>
      </c>
      <c r="H76" s="815"/>
      <c r="I76" s="815"/>
      <c r="J76" s="815">
        <v>4265</v>
      </c>
      <c r="K76" s="815">
        <v>2297</v>
      </c>
      <c r="L76" s="815"/>
      <c r="M76" s="815"/>
      <c r="N76" s="815"/>
      <c r="O76" s="815"/>
      <c r="R76" s="846"/>
    </row>
    <row r="77" spans="1:18" ht="15.75" thickBot="1">
      <c r="A77" s="815"/>
      <c r="B77" s="815"/>
      <c r="C77" s="815"/>
      <c r="D77" s="815"/>
      <c r="E77" s="815"/>
      <c r="F77" s="815"/>
      <c r="G77" s="815"/>
      <c r="H77" s="815"/>
      <c r="I77" s="815"/>
      <c r="J77" s="815"/>
      <c r="K77" s="815"/>
      <c r="L77" s="815"/>
      <c r="M77" s="815"/>
      <c r="N77" s="815"/>
      <c r="O77" s="815"/>
      <c r="R77" s="846"/>
    </row>
    <row r="78" spans="1:18" ht="16.5" thickBot="1">
      <c r="A78" s="1344" t="s">
        <v>68</v>
      </c>
      <c r="B78" s="1344" t="s">
        <v>159</v>
      </c>
      <c r="C78" s="1344" t="s">
        <v>724</v>
      </c>
      <c r="D78" s="1346" t="s">
        <v>725</v>
      </c>
      <c r="E78" s="1347"/>
      <c r="F78" s="1346" t="s">
        <v>726</v>
      </c>
      <c r="G78" s="1347"/>
      <c r="H78" s="1344" t="s">
        <v>727</v>
      </c>
      <c r="I78" s="815"/>
      <c r="J78" s="815"/>
      <c r="K78" s="815"/>
      <c r="L78" s="815"/>
      <c r="M78" s="815"/>
      <c r="N78" s="815"/>
      <c r="O78" s="815"/>
      <c r="R78" s="846"/>
    </row>
    <row r="79" spans="1:18" ht="142.5" thickBot="1">
      <c r="A79" s="1345"/>
      <c r="B79" s="1345"/>
      <c r="C79" s="1345"/>
      <c r="D79" s="848" t="s">
        <v>728</v>
      </c>
      <c r="E79" s="848" t="s">
        <v>729</v>
      </c>
      <c r="F79" s="848" t="s">
        <v>730</v>
      </c>
      <c r="G79" s="848" t="s">
        <v>731</v>
      </c>
      <c r="H79" s="1345"/>
      <c r="I79" s="815"/>
      <c r="J79" s="815"/>
      <c r="K79" s="815"/>
      <c r="L79" s="815"/>
      <c r="M79" s="815"/>
      <c r="N79" s="815"/>
      <c r="O79" s="815"/>
      <c r="R79" s="846"/>
    </row>
    <row r="80" spans="1:18" ht="16.5" thickBot="1">
      <c r="A80" s="849">
        <v>1</v>
      </c>
      <c r="B80" s="848">
        <v>2</v>
      </c>
      <c r="C80" s="848">
        <v>3</v>
      </c>
      <c r="D80" s="848">
        <v>4</v>
      </c>
      <c r="E80" s="848">
        <v>5</v>
      </c>
      <c r="F80" s="848">
        <v>6</v>
      </c>
      <c r="G80" s="848">
        <v>7</v>
      </c>
      <c r="H80" s="848">
        <v>8</v>
      </c>
      <c r="I80" s="815"/>
      <c r="J80" s="815"/>
      <c r="K80" s="815"/>
      <c r="L80" s="815"/>
      <c r="M80" s="815"/>
      <c r="N80" s="815"/>
      <c r="O80" s="815"/>
      <c r="R80" s="846"/>
    </row>
    <row r="81" spans="1:18" ht="32.25" thickBot="1">
      <c r="A81" s="849">
        <v>1</v>
      </c>
      <c r="B81" s="850" t="s">
        <v>147</v>
      </c>
      <c r="C81" s="848" t="s">
        <v>732</v>
      </c>
      <c r="D81" s="848">
        <v>45</v>
      </c>
      <c r="E81" s="848">
        <v>22</v>
      </c>
      <c r="F81" s="848">
        <v>878</v>
      </c>
      <c r="G81" s="848">
        <v>435</v>
      </c>
      <c r="H81" s="848">
        <v>259</v>
      </c>
      <c r="I81" s="815"/>
      <c r="J81" s="815"/>
      <c r="K81" s="815"/>
      <c r="L81" s="815"/>
      <c r="M81" s="815"/>
      <c r="N81" s="815"/>
      <c r="O81" s="815"/>
      <c r="R81" s="846"/>
    </row>
    <row r="82" spans="1:18" ht="21.75" customHeight="1" thickBot="1">
      <c r="A82" s="849">
        <v>2</v>
      </c>
      <c r="B82" s="850" t="s">
        <v>720</v>
      </c>
      <c r="C82" s="848" t="s">
        <v>733</v>
      </c>
      <c r="D82" s="848">
        <v>180</v>
      </c>
      <c r="E82" s="848">
        <v>118</v>
      </c>
      <c r="F82" s="848">
        <v>3511</v>
      </c>
      <c r="G82" s="848">
        <v>4265</v>
      </c>
      <c r="H82" s="848">
        <v>2297</v>
      </c>
      <c r="I82" s="815"/>
      <c r="J82" s="815"/>
      <c r="K82" s="815"/>
      <c r="L82" s="815"/>
      <c r="M82" s="815"/>
      <c r="N82" s="815"/>
      <c r="O82" s="815"/>
      <c r="R82" s="846"/>
    </row>
    <row r="83" spans="1:18" ht="32.25" thickBot="1">
      <c r="A83" s="849">
        <v>4</v>
      </c>
      <c r="B83" s="850" t="s">
        <v>734</v>
      </c>
      <c r="C83" s="848" t="s">
        <v>719</v>
      </c>
      <c r="D83" s="853"/>
      <c r="E83" s="853"/>
      <c r="F83" s="848">
        <v>230</v>
      </c>
      <c r="G83" s="848"/>
      <c r="H83" s="848">
        <v>934</v>
      </c>
      <c r="I83" s="815"/>
      <c r="J83" s="815"/>
      <c r="K83" s="815"/>
      <c r="L83" s="815"/>
      <c r="M83" s="815"/>
      <c r="N83" s="815"/>
      <c r="O83" s="815"/>
      <c r="R83" s="846"/>
    </row>
    <row r="84" spans="1:18" ht="16.5" thickBot="1">
      <c r="A84" s="849">
        <v>5</v>
      </c>
      <c r="B84" s="850" t="s">
        <v>149</v>
      </c>
      <c r="C84" s="848" t="s">
        <v>735</v>
      </c>
      <c r="D84" s="848">
        <v>4.5</v>
      </c>
      <c r="E84" s="848">
        <v>11.4</v>
      </c>
      <c r="F84" s="848">
        <v>88</v>
      </c>
      <c r="G84" s="848">
        <v>223.9</v>
      </c>
      <c r="H84" s="853"/>
      <c r="I84" s="815"/>
      <c r="J84" s="815"/>
      <c r="K84" s="815"/>
      <c r="L84" s="815"/>
      <c r="M84" s="815"/>
      <c r="N84" s="815"/>
      <c r="O84" s="815"/>
      <c r="R84" s="846"/>
    </row>
    <row r="85" spans="1:18" ht="32.25" thickBot="1">
      <c r="A85" s="849">
        <v>6</v>
      </c>
      <c r="B85" s="850" t="s">
        <v>151</v>
      </c>
      <c r="C85" s="848" t="s">
        <v>732</v>
      </c>
      <c r="D85" s="848">
        <v>80</v>
      </c>
      <c r="E85" s="848">
        <v>152</v>
      </c>
      <c r="F85" s="848">
        <v>1560</v>
      </c>
      <c r="G85" s="848">
        <v>2960</v>
      </c>
      <c r="H85" s="853"/>
      <c r="I85" s="815"/>
      <c r="J85" s="815"/>
      <c r="K85" s="815"/>
      <c r="L85" s="815"/>
      <c r="M85" s="815"/>
      <c r="N85" s="815"/>
      <c r="O85" s="815"/>
      <c r="R85" s="846"/>
    </row>
    <row r="86" spans="1:18" ht="19.5" thickBot="1">
      <c r="A86" s="849">
        <v>7</v>
      </c>
      <c r="B86" s="850" t="s">
        <v>736</v>
      </c>
      <c r="C86" s="848" t="s">
        <v>737</v>
      </c>
      <c r="D86" s="848">
        <v>80</v>
      </c>
      <c r="E86" s="848">
        <v>125</v>
      </c>
      <c r="F86" s="848">
        <v>1560</v>
      </c>
      <c r="G86" s="848">
        <v>2439</v>
      </c>
      <c r="H86" s="853"/>
      <c r="I86" s="815"/>
      <c r="J86" s="815"/>
      <c r="K86" s="815"/>
      <c r="L86" s="815"/>
      <c r="M86" s="815"/>
      <c r="N86" s="815"/>
      <c r="O86" s="815"/>
      <c r="R86" s="846"/>
    </row>
    <row r="87" spans="1:18">
      <c r="A87" s="815"/>
      <c r="B87" s="815"/>
      <c r="C87" s="815"/>
      <c r="D87" s="815"/>
      <c r="E87" s="815"/>
      <c r="F87" s="815"/>
      <c r="G87" s="815"/>
      <c r="H87" s="815"/>
      <c r="I87" s="815"/>
      <c r="J87" s="815"/>
      <c r="K87" s="815"/>
      <c r="L87" s="815"/>
      <c r="M87" s="815"/>
      <c r="N87" s="815"/>
      <c r="O87" s="815"/>
      <c r="R87" s="846"/>
    </row>
    <row r="88" spans="1:18">
      <c r="A88" s="815"/>
      <c r="B88" s="815"/>
      <c r="C88" s="815"/>
      <c r="D88" s="815"/>
      <c r="E88" s="815"/>
      <c r="F88" s="815"/>
      <c r="G88" s="815"/>
      <c r="H88" s="815"/>
      <c r="I88" s="815"/>
      <c r="J88" s="815"/>
      <c r="K88" s="815"/>
      <c r="L88" s="815"/>
      <c r="M88" s="815"/>
      <c r="N88" s="815"/>
      <c r="O88" s="815"/>
      <c r="R88" s="846"/>
    </row>
    <row r="89" spans="1:18">
      <c r="A89" s="815"/>
      <c r="B89" s="815"/>
      <c r="C89" s="815"/>
      <c r="D89" s="815"/>
      <c r="E89" s="815"/>
      <c r="F89" s="815"/>
      <c r="G89" s="815"/>
      <c r="H89" s="815"/>
      <c r="I89" s="815"/>
      <c r="J89" s="815"/>
      <c r="K89" s="815"/>
      <c r="L89" s="815"/>
      <c r="M89" s="815"/>
      <c r="N89" s="815"/>
      <c r="O89" s="815"/>
      <c r="R89" s="846"/>
    </row>
    <row r="90" spans="1:18">
      <c r="A90" s="815"/>
      <c r="B90" s="815"/>
      <c r="C90" s="815"/>
      <c r="D90" s="815"/>
      <c r="E90" s="815"/>
      <c r="F90" s="815"/>
      <c r="G90" s="815"/>
      <c r="H90" s="815"/>
      <c r="I90" s="815"/>
      <c r="J90" s="815"/>
      <c r="K90" s="815"/>
      <c r="L90" s="815"/>
      <c r="M90" s="815"/>
      <c r="N90" s="815"/>
      <c r="O90" s="815"/>
      <c r="R90" s="846"/>
    </row>
    <row r="91" spans="1:18">
      <c r="A91" s="815"/>
      <c r="B91" s="815"/>
      <c r="C91" s="815"/>
      <c r="D91" s="815"/>
      <c r="E91" s="815"/>
      <c r="F91" s="815"/>
      <c r="G91" s="815"/>
      <c r="H91" s="815"/>
      <c r="I91" s="815"/>
      <c r="J91" s="815"/>
      <c r="K91" s="815"/>
      <c r="L91" s="815"/>
      <c r="M91" s="815"/>
      <c r="N91" s="815"/>
      <c r="O91" s="815"/>
      <c r="R91" s="846"/>
    </row>
    <row r="92" spans="1:18">
      <c r="A92" s="815"/>
      <c r="B92" s="815"/>
      <c r="C92" s="815"/>
      <c r="D92" s="815"/>
      <c r="E92" s="815"/>
      <c r="F92" s="815"/>
      <c r="G92" s="815"/>
      <c r="H92" s="815"/>
      <c r="I92" s="815"/>
      <c r="J92" s="815"/>
      <c r="K92" s="815"/>
      <c r="L92" s="815"/>
      <c r="M92" s="815"/>
      <c r="N92" s="815"/>
      <c r="O92" s="815"/>
      <c r="R92" s="846"/>
    </row>
    <row r="93" spans="1:18">
      <c r="A93" s="815"/>
      <c r="B93" s="815"/>
      <c r="C93" s="815"/>
      <c r="D93" s="815"/>
      <c r="E93" s="815"/>
      <c r="F93" s="815"/>
      <c r="G93" s="815"/>
      <c r="H93" s="815"/>
      <c r="I93" s="815"/>
      <c r="J93" s="815"/>
      <c r="K93" s="815"/>
      <c r="L93" s="815"/>
      <c r="M93" s="815"/>
      <c r="N93" s="815"/>
      <c r="O93" s="815"/>
      <c r="R93" s="846"/>
    </row>
    <row r="94" spans="1:18">
      <c r="A94" s="815"/>
      <c r="B94" s="815"/>
      <c r="C94" s="815"/>
      <c r="D94" s="815"/>
      <c r="E94" s="815"/>
      <c r="F94" s="815"/>
      <c r="G94" s="815"/>
      <c r="H94" s="815"/>
      <c r="I94" s="815"/>
      <c r="J94" s="815"/>
      <c r="K94" s="815"/>
      <c r="L94" s="815"/>
      <c r="M94" s="815"/>
      <c r="N94" s="815"/>
      <c r="O94" s="815"/>
      <c r="R94" s="846"/>
    </row>
    <row r="95" spans="1:18">
      <c r="A95" s="815"/>
      <c r="B95" s="815"/>
      <c r="C95" s="815"/>
      <c r="D95" s="815"/>
      <c r="E95" s="815"/>
      <c r="F95" s="815"/>
      <c r="G95" s="815"/>
      <c r="H95" s="815"/>
      <c r="I95" s="815"/>
      <c r="J95" s="815"/>
      <c r="K95" s="815"/>
      <c r="L95" s="815"/>
      <c r="M95" s="815"/>
      <c r="N95" s="815"/>
      <c r="O95" s="815"/>
      <c r="R95" s="846"/>
    </row>
    <row r="96" spans="1:18">
      <c r="A96" s="815"/>
      <c r="B96" s="815"/>
      <c r="C96" s="815"/>
      <c r="D96" s="815"/>
      <c r="E96" s="815"/>
      <c r="F96" s="815"/>
      <c r="G96" s="815"/>
      <c r="H96" s="815"/>
      <c r="I96" s="815"/>
      <c r="J96" s="815"/>
      <c r="K96" s="815"/>
      <c r="L96" s="815"/>
      <c r="M96" s="815"/>
      <c r="N96" s="815"/>
      <c r="O96" s="815"/>
      <c r="R96" s="846"/>
    </row>
    <row r="97" spans="18:18">
      <c r="R97" s="846"/>
    </row>
    <row r="98" spans="18:18">
      <c r="R98" s="846"/>
    </row>
    <row r="99" spans="18:18">
      <c r="R99" s="846"/>
    </row>
    <row r="100" spans="18:18">
      <c r="R100" s="846"/>
    </row>
    <row r="101" spans="18:18">
      <c r="R101" s="846"/>
    </row>
    <row r="102" spans="18:18">
      <c r="R102" s="846"/>
    </row>
    <row r="103" spans="18:18">
      <c r="R103" s="846"/>
    </row>
    <row r="104" spans="18:18">
      <c r="R104" s="846"/>
    </row>
    <row r="105" spans="18:18">
      <c r="R105" s="846"/>
    </row>
    <row r="106" spans="18:18">
      <c r="R106" s="846"/>
    </row>
    <row r="107" spans="18:18">
      <c r="R107" s="846"/>
    </row>
    <row r="108" spans="18:18">
      <c r="R108" s="846"/>
    </row>
    <row r="109" spans="18:18">
      <c r="R109" s="846"/>
    </row>
    <row r="110" spans="18:18">
      <c r="R110" s="846"/>
    </row>
    <row r="111" spans="18:18">
      <c r="R111" s="846"/>
    </row>
    <row r="112" spans="18:18">
      <c r="R112" s="846"/>
    </row>
    <row r="113" spans="18:18">
      <c r="R113" s="846"/>
    </row>
    <row r="114" spans="18:18">
      <c r="R114" s="846"/>
    </row>
  </sheetData>
  <mergeCells count="27">
    <mergeCell ref="J1:K1"/>
    <mergeCell ref="A1:A2"/>
    <mergeCell ref="B1:B2"/>
    <mergeCell ref="C1:C2"/>
    <mergeCell ref="D1:E1"/>
    <mergeCell ref="F1:G1"/>
    <mergeCell ref="H78:H79"/>
    <mergeCell ref="AJ1:AJ2"/>
    <mergeCell ref="AL1:AM1"/>
    <mergeCell ref="AQ1:AQ2"/>
    <mergeCell ref="A53:B53"/>
    <mergeCell ref="A62:A63"/>
    <mergeCell ref="B62:B63"/>
    <mergeCell ref="C62:C63"/>
    <mergeCell ref="D62:D63"/>
    <mergeCell ref="E62:G62"/>
    <mergeCell ref="L1:M1"/>
    <mergeCell ref="N1:O1"/>
    <mergeCell ref="P1:Q1"/>
    <mergeCell ref="R1:T1"/>
    <mergeCell ref="AH1:AH2"/>
    <mergeCell ref="AI1:AI2"/>
    <mergeCell ref="A78:A79"/>
    <mergeCell ref="B78:B79"/>
    <mergeCell ref="C78:C79"/>
    <mergeCell ref="D78:E78"/>
    <mergeCell ref="F78:G78"/>
  </mergeCells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K56"/>
  <sheetViews>
    <sheetView workbookViewId="0">
      <selection activeCell="K26" sqref="K26"/>
    </sheetView>
  </sheetViews>
  <sheetFormatPr defaultRowHeight="15"/>
  <cols>
    <col min="1" max="1" width="25.85546875" style="293" customWidth="1"/>
    <col min="2" max="2" width="22.140625" style="293" customWidth="1"/>
    <col min="3" max="3" width="11.42578125" style="293" customWidth="1"/>
    <col min="4" max="4" width="12" style="293" customWidth="1"/>
    <col min="5" max="16384" width="9.140625" style="293"/>
  </cols>
  <sheetData>
    <row r="2" spans="1:10">
      <c r="A2" s="1356" t="s">
        <v>0</v>
      </c>
      <c r="B2" s="130"/>
      <c r="C2" s="1358" t="s">
        <v>427</v>
      </c>
      <c r="D2" s="1359"/>
      <c r="E2" s="1359"/>
      <c r="F2" s="1359"/>
      <c r="G2" s="1359"/>
      <c r="H2" s="1360"/>
    </row>
    <row r="3" spans="1:10">
      <c r="A3" s="1356"/>
      <c r="B3" s="1356" t="s">
        <v>2</v>
      </c>
      <c r="C3" s="1357" t="s">
        <v>43</v>
      </c>
      <c r="D3" s="1357"/>
      <c r="E3" s="1357"/>
      <c r="F3" s="1357"/>
      <c r="G3" s="1357"/>
      <c r="H3" s="1357"/>
    </row>
    <row r="4" spans="1:10" ht="30">
      <c r="A4" s="1356"/>
      <c r="B4" s="1217"/>
      <c r="C4" s="444" t="s">
        <v>37</v>
      </c>
      <c r="D4" s="444" t="s">
        <v>38</v>
      </c>
      <c r="E4" s="443" t="s">
        <v>39</v>
      </c>
      <c r="F4" s="443" t="s">
        <v>40</v>
      </c>
      <c r="G4" s="27" t="s">
        <v>41</v>
      </c>
      <c r="H4" s="27" t="s">
        <v>42</v>
      </c>
      <c r="I4" s="443" t="s">
        <v>425</v>
      </c>
      <c r="J4" s="443" t="s">
        <v>426</v>
      </c>
    </row>
    <row r="5" spans="1:10" s="30" customFormat="1">
      <c r="A5" s="205" t="s">
        <v>302</v>
      </c>
      <c r="B5" s="205"/>
      <c r="C5" s="237"/>
      <c r="D5" s="237">
        <f>D6</f>
        <v>120</v>
      </c>
      <c r="E5" s="237">
        <f t="shared" ref="E5:J5" si="0">E6</f>
        <v>10</v>
      </c>
      <c r="F5" s="237">
        <f t="shared" si="0"/>
        <v>200</v>
      </c>
      <c r="G5" s="237">
        <f t="shared" si="0"/>
        <v>0</v>
      </c>
      <c r="H5" s="237">
        <f t="shared" si="0"/>
        <v>0</v>
      </c>
      <c r="I5" s="237">
        <f t="shared" si="0"/>
        <v>83</v>
      </c>
      <c r="J5" s="237">
        <f t="shared" si="0"/>
        <v>0</v>
      </c>
    </row>
    <row r="6" spans="1:10" s="30" customFormat="1">
      <c r="A6" s="332"/>
      <c r="B6" s="332" t="s">
        <v>302</v>
      </c>
      <c r="C6" s="49">
        <v>150</v>
      </c>
      <c r="D6" s="49">
        <v>120</v>
      </c>
      <c r="E6" s="49">
        <v>10</v>
      </c>
      <c r="F6" s="49">
        <v>200</v>
      </c>
      <c r="G6" s="49"/>
      <c r="H6" s="49"/>
      <c r="I6" s="27">
        <v>83</v>
      </c>
      <c r="J6" s="27"/>
    </row>
    <row r="7" spans="1:10" s="30" customFormat="1">
      <c r="A7" s="201" t="s">
        <v>299</v>
      </c>
      <c r="B7" s="205"/>
      <c r="C7" s="237">
        <f>SUM(C8:C11)</f>
        <v>46</v>
      </c>
      <c r="D7" s="237">
        <f t="shared" ref="D7:I7" si="1">SUM(D8:D11)</f>
        <v>22</v>
      </c>
      <c r="E7" s="237">
        <f t="shared" si="1"/>
        <v>32</v>
      </c>
      <c r="F7" s="237">
        <f t="shared" si="1"/>
        <v>36</v>
      </c>
      <c r="G7" s="237">
        <f t="shared" si="1"/>
        <v>0</v>
      </c>
      <c r="H7" s="237">
        <f t="shared" si="1"/>
        <v>0</v>
      </c>
      <c r="I7" s="237">
        <f t="shared" si="1"/>
        <v>60</v>
      </c>
      <c r="J7" s="27"/>
    </row>
    <row r="8" spans="1:10" s="30" customFormat="1">
      <c r="A8" s="171"/>
      <c r="B8" s="200" t="s">
        <v>299</v>
      </c>
      <c r="C8" s="49">
        <v>24</v>
      </c>
      <c r="D8" s="49">
        <v>11</v>
      </c>
      <c r="E8" s="49">
        <v>17</v>
      </c>
      <c r="F8" s="49">
        <v>19</v>
      </c>
      <c r="G8" s="49"/>
      <c r="H8" s="49"/>
      <c r="I8" s="27">
        <v>45</v>
      </c>
      <c r="J8" s="27"/>
    </row>
    <row r="9" spans="1:10">
      <c r="A9" s="171"/>
      <c r="B9" s="200" t="s">
        <v>225</v>
      </c>
      <c r="C9" s="445">
        <v>3</v>
      </c>
      <c r="D9" s="445">
        <v>2</v>
      </c>
      <c r="E9" s="445">
        <v>0</v>
      </c>
      <c r="F9" s="445">
        <v>0</v>
      </c>
      <c r="G9" s="445"/>
      <c r="H9" s="445"/>
      <c r="I9" s="443"/>
      <c r="J9" s="443"/>
    </row>
    <row r="10" spans="1:10">
      <c r="A10" s="171"/>
      <c r="B10" s="200" t="s">
        <v>301</v>
      </c>
      <c r="C10" s="445">
        <v>8</v>
      </c>
      <c r="D10" s="445">
        <v>3</v>
      </c>
      <c r="E10" s="445">
        <v>10</v>
      </c>
      <c r="F10" s="445">
        <v>10</v>
      </c>
      <c r="G10" s="445"/>
      <c r="H10" s="445"/>
      <c r="I10" s="443"/>
      <c r="J10" s="443"/>
    </row>
    <row r="11" spans="1:10" ht="15.75">
      <c r="A11" s="176"/>
      <c r="B11" s="200" t="s">
        <v>300</v>
      </c>
      <c r="C11" s="445">
        <v>11</v>
      </c>
      <c r="D11" s="445">
        <v>6</v>
      </c>
      <c r="E11" s="445">
        <v>5</v>
      </c>
      <c r="F11" s="445">
        <v>7</v>
      </c>
      <c r="G11" s="445"/>
      <c r="H11" s="445"/>
      <c r="I11" s="443">
        <v>15</v>
      </c>
      <c r="J11" s="443"/>
    </row>
    <row r="12" spans="1:10" ht="15.75">
      <c r="A12" s="184" t="s">
        <v>254</v>
      </c>
      <c r="B12" s="184"/>
      <c r="C12" s="447">
        <f>C13+C14</f>
        <v>78</v>
      </c>
      <c r="D12" s="447">
        <f>D13+D14</f>
        <v>50</v>
      </c>
      <c r="E12" s="447">
        <f t="shared" ref="E12:J12" si="2">E13+E14</f>
        <v>18</v>
      </c>
      <c r="F12" s="447">
        <f t="shared" si="2"/>
        <v>37</v>
      </c>
      <c r="G12" s="447">
        <f t="shared" si="2"/>
        <v>19</v>
      </c>
      <c r="H12" s="447">
        <f t="shared" si="2"/>
        <v>231</v>
      </c>
      <c r="I12" s="447">
        <f t="shared" si="2"/>
        <v>46</v>
      </c>
      <c r="J12" s="447">
        <f t="shared" si="2"/>
        <v>0</v>
      </c>
    </row>
    <row r="13" spans="1:10" ht="15.75">
      <c r="A13" s="108"/>
      <c r="B13" s="102" t="s">
        <v>255</v>
      </c>
      <c r="C13" s="445">
        <v>41</v>
      </c>
      <c r="D13" s="445">
        <v>23</v>
      </c>
      <c r="E13" s="445">
        <v>6</v>
      </c>
      <c r="F13" s="445">
        <v>13</v>
      </c>
      <c r="G13" s="445">
        <v>16</v>
      </c>
      <c r="H13" s="445">
        <v>71</v>
      </c>
      <c r="I13" s="443"/>
      <c r="J13" s="443"/>
    </row>
    <row r="14" spans="1:10" ht="15.75">
      <c r="A14" s="213"/>
      <c r="B14" s="214" t="s">
        <v>256</v>
      </c>
      <c r="C14" s="445">
        <v>37</v>
      </c>
      <c r="D14" s="445">
        <v>27</v>
      </c>
      <c r="E14" s="445">
        <v>12</v>
      </c>
      <c r="F14" s="445">
        <v>24</v>
      </c>
      <c r="G14" s="445">
        <v>3</v>
      </c>
      <c r="H14" s="445">
        <v>160</v>
      </c>
      <c r="I14" s="443">
        <v>46</v>
      </c>
      <c r="J14" s="443"/>
    </row>
    <row r="15" spans="1:10" ht="15.75">
      <c r="A15" s="184" t="s">
        <v>257</v>
      </c>
      <c r="B15" s="184"/>
      <c r="C15" s="447">
        <f>C16+C17+C18</f>
        <v>279</v>
      </c>
      <c r="D15" s="447">
        <f t="shared" ref="D15:J15" si="3">D16+D17+D18</f>
        <v>149</v>
      </c>
      <c r="E15" s="447">
        <f t="shared" si="3"/>
        <v>38</v>
      </c>
      <c r="F15" s="447">
        <f t="shared" si="3"/>
        <v>158</v>
      </c>
      <c r="G15" s="447">
        <f t="shared" si="3"/>
        <v>16</v>
      </c>
      <c r="H15" s="447">
        <f t="shared" si="3"/>
        <v>457</v>
      </c>
      <c r="I15" s="447">
        <f t="shared" si="3"/>
        <v>59</v>
      </c>
      <c r="J15" s="447">
        <f t="shared" si="3"/>
        <v>0</v>
      </c>
    </row>
    <row r="16" spans="1:10" ht="15.75">
      <c r="A16" s="102"/>
      <c r="B16" s="102" t="s">
        <v>258</v>
      </c>
      <c r="C16" s="445">
        <v>178</v>
      </c>
      <c r="D16" s="445">
        <v>92</v>
      </c>
      <c r="E16" s="445">
        <v>11</v>
      </c>
      <c r="F16" s="445">
        <v>110</v>
      </c>
      <c r="G16" s="445">
        <v>10</v>
      </c>
      <c r="H16" s="445">
        <v>226</v>
      </c>
      <c r="I16" s="443">
        <v>44</v>
      </c>
      <c r="J16" s="443"/>
    </row>
    <row r="17" spans="1:11" ht="15.75">
      <c r="A17" s="102"/>
      <c r="B17" s="102" t="s">
        <v>259</v>
      </c>
      <c r="C17" s="445">
        <v>7</v>
      </c>
      <c r="D17" s="445">
        <v>5</v>
      </c>
      <c r="E17" s="445">
        <v>3</v>
      </c>
      <c r="F17" s="445">
        <v>9</v>
      </c>
      <c r="G17" s="445">
        <v>0</v>
      </c>
      <c r="H17" s="445">
        <v>50</v>
      </c>
      <c r="I17" s="443">
        <v>15</v>
      </c>
      <c r="J17" s="443"/>
    </row>
    <row r="18" spans="1:11" ht="15.75">
      <c r="A18" s="176"/>
      <c r="B18" s="102" t="s">
        <v>260</v>
      </c>
      <c r="C18" s="445">
        <v>94</v>
      </c>
      <c r="D18" s="445">
        <v>52</v>
      </c>
      <c r="E18" s="445">
        <v>24</v>
      </c>
      <c r="F18" s="445">
        <v>39</v>
      </c>
      <c r="G18" s="445">
        <v>6</v>
      </c>
      <c r="H18" s="445">
        <v>181</v>
      </c>
      <c r="I18" s="443"/>
      <c r="J18" s="443"/>
    </row>
    <row r="19" spans="1:11" ht="31.5">
      <c r="A19" s="184" t="s">
        <v>261</v>
      </c>
      <c r="B19" s="184"/>
      <c r="C19" s="237">
        <f>C20+C21</f>
        <v>165</v>
      </c>
      <c r="D19" s="237">
        <f t="shared" ref="D19:I19" si="4">D20+D21</f>
        <v>74</v>
      </c>
      <c r="E19" s="237">
        <f t="shared" si="4"/>
        <v>42</v>
      </c>
      <c r="F19" s="237">
        <f t="shared" si="4"/>
        <v>6</v>
      </c>
      <c r="G19" s="237">
        <f t="shared" si="4"/>
        <v>0</v>
      </c>
      <c r="H19" s="237">
        <f t="shared" si="4"/>
        <v>134</v>
      </c>
      <c r="I19" s="237">
        <f t="shared" si="4"/>
        <v>6</v>
      </c>
      <c r="J19" s="443"/>
    </row>
    <row r="20" spans="1:11" ht="15.75">
      <c r="A20" s="102"/>
      <c r="B20" s="102" t="s">
        <v>262</v>
      </c>
      <c r="C20" s="445">
        <v>110</v>
      </c>
      <c r="D20" s="445">
        <v>50</v>
      </c>
      <c r="E20" s="445">
        <v>32</v>
      </c>
      <c r="F20" s="445">
        <v>6</v>
      </c>
      <c r="G20" s="445"/>
      <c r="H20" s="445">
        <v>98</v>
      </c>
      <c r="I20" s="443">
        <v>6</v>
      </c>
      <c r="J20" s="443"/>
    </row>
    <row r="21" spans="1:11" ht="15.75">
      <c r="A21" s="176"/>
      <c r="B21" s="102" t="s">
        <v>263</v>
      </c>
      <c r="C21" s="445">
        <v>55</v>
      </c>
      <c r="D21" s="445">
        <v>24</v>
      </c>
      <c r="E21" s="445">
        <v>10</v>
      </c>
      <c r="F21" s="445">
        <v>0</v>
      </c>
      <c r="G21" s="445"/>
      <c r="H21" s="445">
        <v>36</v>
      </c>
      <c r="I21" s="443">
        <v>0</v>
      </c>
      <c r="J21" s="443"/>
    </row>
    <row r="22" spans="1:11" ht="15.75">
      <c r="A22" s="184" t="s">
        <v>264</v>
      </c>
      <c r="B22" s="184"/>
      <c r="C22" s="447">
        <f t="shared" ref="C22:I22" si="5">C23+C24</f>
        <v>159</v>
      </c>
      <c r="D22" s="447">
        <f t="shared" si="5"/>
        <v>87</v>
      </c>
      <c r="E22" s="447">
        <f t="shared" si="5"/>
        <v>75</v>
      </c>
      <c r="F22" s="447">
        <f t="shared" si="5"/>
        <v>100</v>
      </c>
      <c r="G22" s="447">
        <f t="shared" si="5"/>
        <v>8</v>
      </c>
      <c r="H22" s="447">
        <f t="shared" si="5"/>
        <v>426</v>
      </c>
      <c r="I22" s="447">
        <f t="shared" si="5"/>
        <v>30</v>
      </c>
      <c r="J22" s="443"/>
    </row>
    <row r="23" spans="1:11" ht="15.75">
      <c r="A23" s="102"/>
      <c r="B23" s="102" t="s">
        <v>265</v>
      </c>
      <c r="C23" s="49">
        <v>122</v>
      </c>
      <c r="D23" s="49">
        <v>63</v>
      </c>
      <c r="E23" s="49">
        <v>43</v>
      </c>
      <c r="F23" s="49">
        <v>72</v>
      </c>
      <c r="G23" s="49">
        <v>5</v>
      </c>
      <c r="H23" s="49">
        <v>281</v>
      </c>
      <c r="I23" s="27">
        <v>20</v>
      </c>
      <c r="J23" s="27"/>
      <c r="K23" s="30"/>
    </row>
    <row r="24" spans="1:11" ht="15.75">
      <c r="A24" s="212"/>
      <c r="B24" s="102" t="s">
        <v>266</v>
      </c>
      <c r="C24" s="49">
        <v>37</v>
      </c>
      <c r="D24" s="49">
        <v>24</v>
      </c>
      <c r="E24" s="49">
        <v>32</v>
      </c>
      <c r="F24" s="49">
        <v>28</v>
      </c>
      <c r="G24" s="49">
        <v>3</v>
      </c>
      <c r="H24" s="49">
        <v>145</v>
      </c>
      <c r="I24" s="27">
        <v>10</v>
      </c>
      <c r="J24" s="27"/>
      <c r="K24" s="30"/>
    </row>
    <row r="25" spans="1:11" ht="15.75">
      <c r="A25" s="184" t="s">
        <v>267</v>
      </c>
      <c r="B25" s="184"/>
      <c r="C25" s="237">
        <f>SUM(C26:C28)</f>
        <v>69</v>
      </c>
      <c r="D25" s="237">
        <f t="shared" ref="D25:I25" si="6">SUM(D26:D28)</f>
        <v>37</v>
      </c>
      <c r="E25" s="237">
        <f t="shared" si="6"/>
        <v>16</v>
      </c>
      <c r="F25" s="237">
        <f t="shared" si="6"/>
        <v>51</v>
      </c>
      <c r="G25" s="237">
        <f t="shared" si="6"/>
        <v>4</v>
      </c>
      <c r="H25" s="237">
        <f t="shared" si="6"/>
        <v>180</v>
      </c>
      <c r="I25" s="237">
        <f t="shared" si="6"/>
        <v>35</v>
      </c>
      <c r="J25" s="443"/>
    </row>
    <row r="26" spans="1:11" ht="15.75">
      <c r="A26" s="102"/>
      <c r="B26" s="102" t="s">
        <v>268</v>
      </c>
      <c r="C26" s="445">
        <v>41</v>
      </c>
      <c r="D26" s="445">
        <v>23</v>
      </c>
      <c r="E26" s="445">
        <v>13</v>
      </c>
      <c r="F26" s="445">
        <v>16</v>
      </c>
      <c r="G26" s="445">
        <v>0</v>
      </c>
      <c r="H26" s="445">
        <v>105</v>
      </c>
      <c r="I26" s="443">
        <v>18</v>
      </c>
      <c r="J26" s="443"/>
    </row>
    <row r="27" spans="1:11" ht="15.75">
      <c r="A27" s="102"/>
      <c r="B27" s="102" t="s">
        <v>269</v>
      </c>
      <c r="C27" s="445">
        <v>19</v>
      </c>
      <c r="D27" s="445">
        <v>8</v>
      </c>
      <c r="E27" s="445">
        <v>0</v>
      </c>
      <c r="F27" s="445">
        <v>24</v>
      </c>
      <c r="G27" s="445">
        <v>2</v>
      </c>
      <c r="H27" s="445">
        <v>35</v>
      </c>
      <c r="I27" s="443">
        <v>17</v>
      </c>
      <c r="J27" s="443"/>
    </row>
    <row r="28" spans="1:11" ht="15.75">
      <c r="A28" s="176"/>
      <c r="B28" s="102" t="s">
        <v>270</v>
      </c>
      <c r="C28" s="445">
        <v>9</v>
      </c>
      <c r="D28" s="445">
        <v>6</v>
      </c>
      <c r="E28" s="445">
        <v>3</v>
      </c>
      <c r="F28" s="445">
        <v>11</v>
      </c>
      <c r="G28" s="445">
        <v>2</v>
      </c>
      <c r="H28" s="445">
        <v>40</v>
      </c>
      <c r="I28" s="443"/>
      <c r="J28" s="443"/>
    </row>
    <row r="29" spans="1:11" ht="15.75">
      <c r="A29" s="184" t="s">
        <v>271</v>
      </c>
      <c r="B29" s="184"/>
      <c r="C29" s="237">
        <f>SUM(C30:C34)</f>
        <v>391</v>
      </c>
      <c r="D29" s="237">
        <f t="shared" ref="D29:J29" si="7">SUM(D30:D34)</f>
        <v>152</v>
      </c>
      <c r="E29" s="237">
        <f t="shared" si="7"/>
        <v>106</v>
      </c>
      <c r="F29" s="489">
        <f>SUM(F30:F34)</f>
        <v>519</v>
      </c>
      <c r="G29" s="237">
        <f t="shared" si="7"/>
        <v>0</v>
      </c>
      <c r="H29" s="237">
        <f t="shared" si="7"/>
        <v>0</v>
      </c>
      <c r="I29" s="237">
        <f t="shared" si="7"/>
        <v>111</v>
      </c>
      <c r="J29" s="237">
        <f t="shared" si="7"/>
        <v>0</v>
      </c>
    </row>
    <row r="30" spans="1:11" ht="15.75">
      <c r="A30" s="102"/>
      <c r="B30" s="102" t="s">
        <v>272</v>
      </c>
      <c r="C30" s="445">
        <v>161</v>
      </c>
      <c r="D30" s="445">
        <v>63</v>
      </c>
      <c r="E30" s="445">
        <v>38</v>
      </c>
      <c r="F30" s="445">
        <v>116</v>
      </c>
      <c r="G30" s="445"/>
      <c r="H30" s="445"/>
      <c r="I30" s="443">
        <v>93</v>
      </c>
      <c r="J30" s="443"/>
    </row>
    <row r="31" spans="1:11" ht="15.75">
      <c r="A31" s="102"/>
      <c r="B31" s="102" t="s">
        <v>273</v>
      </c>
      <c r="C31" s="445">
        <v>43</v>
      </c>
      <c r="D31" s="445">
        <v>19</v>
      </c>
      <c r="E31" s="445">
        <v>7</v>
      </c>
      <c r="F31" s="445">
        <v>60</v>
      </c>
      <c r="G31" s="445"/>
      <c r="H31" s="445"/>
      <c r="I31" s="443"/>
      <c r="J31" s="443"/>
    </row>
    <row r="32" spans="1:11" ht="15.75">
      <c r="A32" s="102"/>
      <c r="B32" s="102" t="s">
        <v>274</v>
      </c>
      <c r="C32" s="49">
        <v>130</v>
      </c>
      <c r="D32" s="49">
        <v>39</v>
      </c>
      <c r="E32" s="49">
        <v>11</v>
      </c>
      <c r="F32" s="49">
        <v>292</v>
      </c>
      <c r="G32" s="49"/>
      <c r="H32" s="49"/>
      <c r="I32" s="443">
        <v>18</v>
      </c>
      <c r="J32" s="443"/>
    </row>
    <row r="33" spans="1:10" ht="15.75">
      <c r="A33" s="102"/>
      <c r="B33" s="102" t="s">
        <v>275</v>
      </c>
      <c r="C33" s="49">
        <v>46</v>
      </c>
      <c r="D33" s="49">
        <v>26</v>
      </c>
      <c r="E33" s="49">
        <v>50</v>
      </c>
      <c r="F33" s="49">
        <v>44</v>
      </c>
      <c r="G33" s="49"/>
      <c r="H33" s="49"/>
      <c r="I33" s="443"/>
      <c r="J33" s="443"/>
    </row>
    <row r="34" spans="1:10" ht="15.75">
      <c r="A34" s="212"/>
      <c r="B34" s="102" t="s">
        <v>276</v>
      </c>
      <c r="C34" s="445">
        <v>11</v>
      </c>
      <c r="D34" s="445">
        <v>5</v>
      </c>
      <c r="E34" s="445">
        <v>0</v>
      </c>
      <c r="F34" s="445">
        <v>7</v>
      </c>
      <c r="G34" s="445"/>
      <c r="H34" s="445"/>
      <c r="I34" s="443"/>
      <c r="J34" s="443"/>
    </row>
    <row r="35" spans="1:10" ht="31.5">
      <c r="A35" s="184" t="s">
        <v>277</v>
      </c>
      <c r="B35" s="184"/>
      <c r="C35" s="237">
        <f>SUM(C36:C40)</f>
        <v>120</v>
      </c>
      <c r="D35" s="237">
        <f t="shared" ref="D35:J35" si="8">SUM(D36:D40)</f>
        <v>55</v>
      </c>
      <c r="E35" s="237">
        <f t="shared" si="8"/>
        <v>44</v>
      </c>
      <c r="F35" s="237">
        <f t="shared" si="8"/>
        <v>18</v>
      </c>
      <c r="G35" s="237">
        <f t="shared" si="8"/>
        <v>3</v>
      </c>
      <c r="H35" s="237">
        <f t="shared" si="8"/>
        <v>317</v>
      </c>
      <c r="I35" s="237">
        <f t="shared" si="8"/>
        <v>15</v>
      </c>
      <c r="J35" s="237">
        <f t="shared" si="8"/>
        <v>0</v>
      </c>
    </row>
    <row r="36" spans="1:10" ht="15.75">
      <c r="A36" s="102"/>
      <c r="B36" s="102" t="s">
        <v>278</v>
      </c>
      <c r="C36" s="445">
        <v>74</v>
      </c>
      <c r="D36" s="445">
        <v>36</v>
      </c>
      <c r="E36" s="445">
        <v>2</v>
      </c>
      <c r="F36" s="445">
        <v>16</v>
      </c>
      <c r="G36" s="445">
        <v>1</v>
      </c>
      <c r="H36" s="445">
        <v>192</v>
      </c>
      <c r="I36" s="443">
        <v>15</v>
      </c>
      <c r="J36" s="443"/>
    </row>
    <row r="37" spans="1:10" ht="15.75">
      <c r="A37" s="102"/>
      <c r="B37" s="102" t="s">
        <v>279</v>
      </c>
      <c r="C37" s="445">
        <v>9</v>
      </c>
      <c r="D37" s="445">
        <v>3</v>
      </c>
      <c r="E37" s="445"/>
      <c r="F37" s="445"/>
      <c r="G37" s="445"/>
      <c r="H37" s="445">
        <v>15</v>
      </c>
      <c r="I37" s="443"/>
      <c r="J37" s="443"/>
    </row>
    <row r="38" spans="1:10" ht="15.75">
      <c r="A38" s="102"/>
      <c r="B38" s="102" t="s">
        <v>280</v>
      </c>
      <c r="C38" s="445">
        <v>15</v>
      </c>
      <c r="D38" s="445">
        <v>5</v>
      </c>
      <c r="E38" s="445">
        <v>2</v>
      </c>
      <c r="F38" s="445">
        <v>2</v>
      </c>
      <c r="G38" s="445">
        <v>1</v>
      </c>
      <c r="H38" s="445">
        <v>36</v>
      </c>
      <c r="I38" s="443"/>
      <c r="J38" s="443"/>
    </row>
    <row r="39" spans="1:10" ht="15.75">
      <c r="A39" s="102"/>
      <c r="B39" s="102" t="s">
        <v>281</v>
      </c>
      <c r="C39" s="445">
        <v>2</v>
      </c>
      <c r="D39" s="445">
        <v>1</v>
      </c>
      <c r="E39" s="445"/>
      <c r="F39" s="445"/>
      <c r="G39" s="445">
        <v>1</v>
      </c>
      <c r="H39" s="445">
        <v>0</v>
      </c>
      <c r="I39" s="443"/>
      <c r="J39" s="443"/>
    </row>
    <row r="40" spans="1:10" ht="15.75">
      <c r="A40" s="212"/>
      <c r="B40" s="102" t="s">
        <v>282</v>
      </c>
      <c r="C40" s="445">
        <v>20</v>
      </c>
      <c r="D40" s="445">
        <v>10</v>
      </c>
      <c r="E40" s="445">
        <v>40</v>
      </c>
      <c r="F40" s="445"/>
      <c r="G40" s="445"/>
      <c r="H40" s="445">
        <v>74</v>
      </c>
      <c r="I40" s="443"/>
      <c r="J40" s="443"/>
    </row>
    <row r="41" spans="1:10" ht="15.75">
      <c r="A41" s="184" t="s">
        <v>283</v>
      </c>
      <c r="B41" s="184"/>
      <c r="C41" s="447">
        <f>SUM(C42:C46)</f>
        <v>210</v>
      </c>
      <c r="D41" s="447">
        <f t="shared" ref="D41:J41" si="9">SUM(D42:D46)</f>
        <v>115</v>
      </c>
      <c r="E41" s="447">
        <f t="shared" si="9"/>
        <v>56</v>
      </c>
      <c r="F41" s="447">
        <f t="shared" si="9"/>
        <v>32</v>
      </c>
      <c r="G41" s="447">
        <f t="shared" si="9"/>
        <v>10</v>
      </c>
      <c r="H41" s="447">
        <f t="shared" si="9"/>
        <v>377</v>
      </c>
      <c r="I41" s="447">
        <f t="shared" si="9"/>
        <v>68</v>
      </c>
      <c r="J41" s="447">
        <f t="shared" si="9"/>
        <v>79</v>
      </c>
    </row>
    <row r="42" spans="1:10" ht="15.75">
      <c r="A42" s="102"/>
      <c r="B42" s="102" t="s">
        <v>284</v>
      </c>
      <c r="C42" s="445">
        <v>118</v>
      </c>
      <c r="D42" s="445">
        <v>66</v>
      </c>
      <c r="E42" s="445">
        <f>9+6</f>
        <v>15</v>
      </c>
      <c r="F42" s="445">
        <v>15</v>
      </c>
      <c r="G42" s="445">
        <v>3</v>
      </c>
      <c r="H42" s="445">
        <v>199</v>
      </c>
      <c r="I42" s="443">
        <v>35</v>
      </c>
      <c r="J42" s="444">
        <v>56</v>
      </c>
    </row>
    <row r="43" spans="1:10" ht="15.75">
      <c r="A43" s="102"/>
      <c r="B43" s="102" t="s">
        <v>285</v>
      </c>
      <c r="C43" s="445">
        <v>66</v>
      </c>
      <c r="D43" s="445">
        <v>33</v>
      </c>
      <c r="E43" s="445">
        <v>20</v>
      </c>
      <c r="F43" s="445">
        <v>7</v>
      </c>
      <c r="G43" s="445">
        <v>2</v>
      </c>
      <c r="H43" s="445">
        <v>117</v>
      </c>
      <c r="I43" s="443">
        <v>28</v>
      </c>
      <c r="J43" s="444">
        <v>23</v>
      </c>
    </row>
    <row r="44" spans="1:10" ht="15.75">
      <c r="A44" s="102"/>
      <c r="B44" s="102" t="s">
        <v>286</v>
      </c>
      <c r="C44" s="445">
        <v>26</v>
      </c>
      <c r="D44" s="445">
        <v>16</v>
      </c>
      <c r="E44" s="445">
        <v>21</v>
      </c>
      <c r="F44" s="445">
        <v>10</v>
      </c>
      <c r="G44" s="445">
        <v>5</v>
      </c>
      <c r="H44" s="445">
        <v>61</v>
      </c>
      <c r="I44" s="443">
        <v>5</v>
      </c>
      <c r="J44" s="444"/>
    </row>
    <row r="45" spans="1:10" ht="15.75">
      <c r="A45" s="102"/>
      <c r="B45" s="102" t="s">
        <v>287</v>
      </c>
      <c r="C45" s="445">
        <v>0</v>
      </c>
      <c r="D45" s="445">
        <v>0</v>
      </c>
      <c r="E45" s="445">
        <v>0</v>
      </c>
      <c r="F45" s="445">
        <v>0</v>
      </c>
      <c r="G45" s="445"/>
      <c r="H45" s="445"/>
      <c r="I45" s="443"/>
      <c r="J45" s="443"/>
    </row>
    <row r="46" spans="1:10" ht="15.75">
      <c r="A46" s="176"/>
      <c r="B46" s="102" t="s">
        <v>298</v>
      </c>
      <c r="C46" s="445"/>
      <c r="D46" s="445"/>
      <c r="E46" s="445"/>
      <c r="F46" s="445"/>
      <c r="G46" s="445"/>
      <c r="H46" s="445"/>
      <c r="I46" s="443"/>
      <c r="J46" s="443"/>
    </row>
    <row r="47" spans="1:10" ht="15.75">
      <c r="A47" s="184" t="s">
        <v>288</v>
      </c>
      <c r="B47" s="184"/>
      <c r="C47" s="237">
        <f>SUM(C48:C50)</f>
        <v>106</v>
      </c>
      <c r="D47" s="237">
        <f t="shared" ref="D47:J47" si="10">SUM(D48:D50)</f>
        <v>56</v>
      </c>
      <c r="E47" s="237">
        <f t="shared" si="10"/>
        <v>35</v>
      </c>
      <c r="F47" s="237">
        <f t="shared" si="10"/>
        <v>25</v>
      </c>
      <c r="G47" s="237">
        <f t="shared" si="10"/>
        <v>0</v>
      </c>
      <c r="H47" s="237">
        <f t="shared" si="10"/>
        <v>0</v>
      </c>
      <c r="I47" s="237">
        <f t="shared" si="10"/>
        <v>62</v>
      </c>
      <c r="J47" s="237">
        <f t="shared" si="10"/>
        <v>0</v>
      </c>
    </row>
    <row r="48" spans="1:10" ht="15.75">
      <c r="A48" s="102"/>
      <c r="B48" s="102" t="s">
        <v>289</v>
      </c>
      <c r="C48" s="445">
        <v>83</v>
      </c>
      <c r="D48" s="445">
        <v>40</v>
      </c>
      <c r="E48" s="445">
        <v>31</v>
      </c>
      <c r="F48" s="445">
        <v>25</v>
      </c>
      <c r="G48" s="445"/>
      <c r="H48" s="445"/>
      <c r="I48" s="443">
        <v>62</v>
      </c>
      <c r="J48" s="443"/>
    </row>
    <row r="49" spans="1:10" ht="15.75">
      <c r="A49" s="102"/>
      <c r="B49" s="102" t="s">
        <v>290</v>
      </c>
      <c r="C49" s="445">
        <v>3</v>
      </c>
      <c r="D49" s="445">
        <v>3</v>
      </c>
      <c r="E49" s="445">
        <v>0</v>
      </c>
      <c r="F49" s="445">
        <v>0</v>
      </c>
      <c r="G49" s="445"/>
      <c r="H49" s="445"/>
      <c r="I49" s="443"/>
      <c r="J49" s="443"/>
    </row>
    <row r="50" spans="1:10" ht="15.75">
      <c r="A50" s="176"/>
      <c r="B50" s="102" t="s">
        <v>291</v>
      </c>
      <c r="C50" s="444">
        <v>20</v>
      </c>
      <c r="D50" s="444">
        <v>13</v>
      </c>
      <c r="E50" s="444">
        <v>4</v>
      </c>
      <c r="F50" s="444">
        <v>0</v>
      </c>
      <c r="G50" s="444"/>
      <c r="H50" s="444"/>
      <c r="I50" s="443"/>
      <c r="J50" s="443"/>
    </row>
    <row r="51" spans="1:10" ht="15.75">
      <c r="A51" s="184" t="s">
        <v>292</v>
      </c>
      <c r="B51" s="184"/>
      <c r="C51" s="325">
        <f>SUM(C52:C55)</f>
        <v>260</v>
      </c>
      <c r="D51" s="325">
        <f t="shared" ref="D51:J51" si="11">SUM(D52:D55)</f>
        <v>121</v>
      </c>
      <c r="E51" s="325">
        <f t="shared" si="11"/>
        <v>95</v>
      </c>
      <c r="F51" s="325">
        <f t="shared" si="11"/>
        <v>255</v>
      </c>
      <c r="G51" s="325">
        <f t="shared" si="11"/>
        <v>9</v>
      </c>
      <c r="H51" s="325">
        <f t="shared" si="11"/>
        <v>965</v>
      </c>
      <c r="I51" s="481">
        <f t="shared" si="11"/>
        <v>117</v>
      </c>
      <c r="J51" s="481">
        <f t="shared" si="11"/>
        <v>0</v>
      </c>
    </row>
    <row r="52" spans="1:10" ht="15.75">
      <c r="A52" s="102"/>
      <c r="B52" s="102" t="s">
        <v>293</v>
      </c>
      <c r="C52" s="444">
        <v>52</v>
      </c>
      <c r="D52" s="444">
        <v>26</v>
      </c>
      <c r="E52" s="444">
        <v>33</v>
      </c>
      <c r="F52" s="444">
        <v>48</v>
      </c>
      <c r="G52" s="444">
        <v>1</v>
      </c>
      <c r="H52" s="444">
        <v>287</v>
      </c>
      <c r="I52" s="443">
        <v>40</v>
      </c>
      <c r="J52" s="443"/>
    </row>
    <row r="53" spans="1:10" ht="31.5">
      <c r="A53" s="102"/>
      <c r="B53" s="102" t="s">
        <v>294</v>
      </c>
      <c r="C53" s="444">
        <v>5</v>
      </c>
      <c r="D53" s="444">
        <v>3</v>
      </c>
      <c r="E53" s="444">
        <v>5</v>
      </c>
      <c r="F53" s="444">
        <v>6</v>
      </c>
      <c r="G53" s="444">
        <v>1</v>
      </c>
      <c r="H53" s="444">
        <v>20</v>
      </c>
      <c r="I53" s="443">
        <v>25</v>
      </c>
      <c r="J53" s="443"/>
    </row>
    <row r="54" spans="1:10" ht="15.75">
      <c r="A54" s="102"/>
      <c r="B54" s="102" t="s">
        <v>295</v>
      </c>
      <c r="C54" s="444">
        <v>96</v>
      </c>
      <c r="D54" s="444">
        <v>49</v>
      </c>
      <c r="E54" s="444">
        <v>17</v>
      </c>
      <c r="F54" s="444">
        <v>67</v>
      </c>
      <c r="G54" s="444">
        <v>7</v>
      </c>
      <c r="H54" s="444">
        <v>198</v>
      </c>
      <c r="I54" s="443">
        <v>18</v>
      </c>
      <c r="J54" s="443"/>
    </row>
    <row r="55" spans="1:10" ht="15.75">
      <c r="A55" s="209"/>
      <c r="B55" s="102" t="s">
        <v>296</v>
      </c>
      <c r="C55" s="444">
        <v>107</v>
      </c>
      <c r="D55" s="444">
        <v>43</v>
      </c>
      <c r="E55" s="444">
        <v>40</v>
      </c>
      <c r="F55" s="444">
        <v>134</v>
      </c>
      <c r="G55" s="444">
        <v>0</v>
      </c>
      <c r="H55" s="444">
        <v>460</v>
      </c>
      <c r="I55" s="443">
        <v>34</v>
      </c>
      <c r="J55" s="443"/>
    </row>
    <row r="56" spans="1:10">
      <c r="A56" s="449" t="s">
        <v>78</v>
      </c>
      <c r="B56" s="448"/>
      <c r="C56" s="450">
        <f>C5+C7+C12+C15+C19+C22+C25+C29+C35+C41+C47+C51</f>
        <v>1883</v>
      </c>
      <c r="D56" s="450">
        <f t="shared" ref="D56:J56" si="12">D5+D7+D12+D15+D19+D22+D25+D29+D35+D41+D47+D51</f>
        <v>1038</v>
      </c>
      <c r="E56" s="450">
        <f t="shared" si="12"/>
        <v>567</v>
      </c>
      <c r="F56" s="450">
        <f t="shared" si="12"/>
        <v>1437</v>
      </c>
      <c r="G56" s="450">
        <f t="shared" si="12"/>
        <v>69</v>
      </c>
      <c r="H56" s="450">
        <f t="shared" si="12"/>
        <v>3087</v>
      </c>
      <c r="I56" s="450">
        <f>I5+I7+I12+I15+I19+I22+I25+I29+I35+I41+I47+I51</f>
        <v>692</v>
      </c>
      <c r="J56" s="450">
        <f t="shared" si="12"/>
        <v>79</v>
      </c>
    </row>
  </sheetData>
  <mergeCells count="4">
    <mergeCell ref="A2:A4"/>
    <mergeCell ref="B3:B4"/>
    <mergeCell ref="C3:H3"/>
    <mergeCell ref="C2:H2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pane ySplit="1" topLeftCell="A2" activePane="bottomLeft" state="frozen"/>
      <selection pane="bottomLeft" activeCell="F2" sqref="F1:F1048576"/>
    </sheetView>
  </sheetViews>
  <sheetFormatPr defaultRowHeight="15"/>
  <cols>
    <col min="1" max="1" width="22.5703125" style="293" customWidth="1"/>
    <col min="2" max="2" width="22.140625" style="293" customWidth="1"/>
    <col min="3" max="3" width="11.140625" style="293" customWidth="1"/>
    <col min="4" max="4" width="12" style="293" customWidth="1"/>
    <col min="5" max="5" width="6.7109375" style="293" customWidth="1"/>
    <col min="6" max="6" width="7.85546875" style="293" customWidth="1"/>
    <col min="7" max="7" width="8.140625" style="293" customWidth="1"/>
    <col min="8" max="8" width="6.42578125" style="293" customWidth="1"/>
    <col min="9" max="16384" width="9.140625" style="293"/>
  </cols>
  <sheetData>
    <row r="1" spans="1:14">
      <c r="A1" s="1356"/>
      <c r="B1" s="1356" t="s">
        <v>2</v>
      </c>
      <c r="C1" s="1357" t="s">
        <v>43</v>
      </c>
      <c r="D1" s="1357"/>
      <c r="E1" s="1357"/>
      <c r="F1" s="1357"/>
      <c r="G1" s="1357"/>
      <c r="H1" s="1357"/>
    </row>
    <row r="2" spans="1:14" ht="30">
      <c r="A2" s="1356"/>
      <c r="B2" s="1217"/>
      <c r="C2" s="444" t="s">
        <v>37</v>
      </c>
      <c r="D2" s="444" t="s">
        <v>38</v>
      </c>
      <c r="E2" s="443" t="s">
        <v>39</v>
      </c>
      <c r="F2" s="443" t="s">
        <v>40</v>
      </c>
      <c r="G2" s="27" t="s">
        <v>41</v>
      </c>
      <c r="H2" s="27" t="s">
        <v>42</v>
      </c>
    </row>
    <row r="3" spans="1:14" s="30" customFormat="1">
      <c r="A3" s="205" t="s">
        <v>302</v>
      </c>
      <c r="B3" s="205"/>
      <c r="C3" s="237">
        <f>C4</f>
        <v>0</v>
      </c>
      <c r="D3" s="237">
        <f t="shared" ref="D3:H3" si="0">D4</f>
        <v>0</v>
      </c>
      <c r="E3" s="237">
        <f t="shared" si="0"/>
        <v>0</v>
      </c>
      <c r="F3" s="237">
        <f t="shared" si="0"/>
        <v>0</v>
      </c>
      <c r="G3" s="237">
        <f t="shared" si="0"/>
        <v>0</v>
      </c>
      <c r="H3" s="237">
        <f t="shared" si="0"/>
        <v>0</v>
      </c>
      <c r="I3" s="1361" t="s">
        <v>44</v>
      </c>
      <c r="J3" s="1362"/>
      <c r="K3" s="1362"/>
      <c r="L3" s="1362"/>
      <c r="M3" s="1362"/>
      <c r="N3" s="1363"/>
    </row>
    <row r="4" spans="1:14" s="30" customFormat="1">
      <c r="A4" s="332"/>
      <c r="B4" s="332" t="s">
        <v>302</v>
      </c>
      <c r="C4" s="49"/>
      <c r="D4" s="49"/>
      <c r="E4" s="49"/>
      <c r="F4" s="49"/>
      <c r="G4" s="49"/>
      <c r="H4" s="49"/>
    </row>
    <row r="5" spans="1:14" s="30" customFormat="1">
      <c r="A5" s="201" t="s">
        <v>299</v>
      </c>
      <c r="B5" s="205"/>
      <c r="C5" s="237">
        <f>SUM(C6:C9)</f>
        <v>0</v>
      </c>
      <c r="D5" s="237">
        <f t="shared" ref="D5:H5" si="1">SUM(D6:D9)</f>
        <v>0</v>
      </c>
      <c r="E5" s="237">
        <f t="shared" si="1"/>
        <v>0</v>
      </c>
      <c r="F5" s="237">
        <f t="shared" si="1"/>
        <v>0</v>
      </c>
      <c r="G5" s="237">
        <f>SUM(G6:G9)</f>
        <v>0</v>
      </c>
      <c r="H5" s="237">
        <f t="shared" si="1"/>
        <v>0</v>
      </c>
    </row>
    <row r="6" spans="1:14" s="30" customFormat="1">
      <c r="A6" s="171"/>
      <c r="B6" s="200" t="s">
        <v>299</v>
      </c>
      <c r="C6" s="49"/>
      <c r="D6" s="49"/>
      <c r="E6" s="49"/>
      <c r="F6" s="49"/>
      <c r="G6" s="49"/>
      <c r="H6" s="49"/>
    </row>
    <row r="7" spans="1:14">
      <c r="A7" s="171"/>
      <c r="B7" s="200" t="s">
        <v>225</v>
      </c>
      <c r="C7" s="445"/>
      <c r="D7" s="445"/>
      <c r="E7" s="445"/>
      <c r="F7" s="445"/>
      <c r="G7" s="445"/>
      <c r="H7" s="445"/>
    </row>
    <row r="8" spans="1:14">
      <c r="A8" s="171"/>
      <c r="B8" s="200" t="s">
        <v>301</v>
      </c>
      <c r="C8" s="445"/>
      <c r="D8" s="445"/>
      <c r="E8" s="445"/>
      <c r="F8" s="445"/>
      <c r="G8" s="445"/>
      <c r="H8" s="445"/>
    </row>
    <row r="9" spans="1:14" ht="15.75">
      <c r="A9" s="176"/>
      <c r="B9" s="200" t="s">
        <v>300</v>
      </c>
      <c r="C9" s="445"/>
      <c r="D9" s="445"/>
      <c r="E9" s="445"/>
      <c r="F9" s="445"/>
      <c r="G9" s="445"/>
      <c r="H9" s="445"/>
    </row>
    <row r="10" spans="1:14" ht="31.5">
      <c r="A10" s="184" t="s">
        <v>254</v>
      </c>
      <c r="B10" s="184"/>
      <c r="C10" s="237"/>
      <c r="D10" s="237"/>
      <c r="E10" s="237"/>
      <c r="F10" s="237"/>
      <c r="G10" s="237"/>
      <c r="H10" s="237"/>
    </row>
    <row r="11" spans="1:14" ht="15.75">
      <c r="A11" s="108"/>
      <c r="B11" s="102" t="s">
        <v>255</v>
      </c>
      <c r="C11" s="445"/>
      <c r="D11" s="445"/>
      <c r="E11" s="445"/>
      <c r="F11" s="445"/>
      <c r="G11" s="445"/>
      <c r="H11" s="445"/>
    </row>
    <row r="12" spans="1:14" ht="15.75">
      <c r="A12" s="213"/>
      <c r="B12" s="214" t="s">
        <v>256</v>
      </c>
      <c r="C12" s="445"/>
      <c r="D12" s="445"/>
      <c r="E12" s="445"/>
      <c r="F12" s="445"/>
      <c r="G12" s="445"/>
      <c r="H12" s="445"/>
    </row>
    <row r="13" spans="1:14" ht="31.5">
      <c r="A13" s="184" t="s">
        <v>257</v>
      </c>
      <c r="B13" s="184"/>
      <c r="C13" s="237">
        <f>C14+C15+C16</f>
        <v>124</v>
      </c>
      <c r="D13" s="237">
        <f t="shared" ref="D13:H13" si="2">D14+D15+D16</f>
        <v>31</v>
      </c>
      <c r="E13" s="237">
        <f t="shared" si="2"/>
        <v>0</v>
      </c>
      <c r="F13" s="237">
        <f t="shared" si="2"/>
        <v>0</v>
      </c>
      <c r="G13" s="237">
        <f>G14+G15+G16</f>
        <v>0</v>
      </c>
      <c r="H13" s="237">
        <f t="shared" si="2"/>
        <v>0</v>
      </c>
    </row>
    <row r="14" spans="1:14" ht="15.75">
      <c r="A14" s="102"/>
      <c r="B14" s="102" t="s">
        <v>258</v>
      </c>
      <c r="C14" s="445">
        <v>124</v>
      </c>
      <c r="D14" s="445">
        <v>31</v>
      </c>
      <c r="E14" s="445"/>
      <c r="F14" s="445"/>
      <c r="G14" s="445"/>
      <c r="H14" s="445"/>
    </row>
    <row r="15" spans="1:14" ht="15.75">
      <c r="A15" s="102"/>
      <c r="B15" s="102" t="s">
        <v>259</v>
      </c>
      <c r="C15" s="445"/>
      <c r="D15" s="445"/>
      <c r="E15" s="445"/>
      <c r="F15" s="445"/>
      <c r="G15" s="445"/>
      <c r="H15" s="445"/>
    </row>
    <row r="16" spans="1:14" ht="15.75">
      <c r="A16" s="176"/>
      <c r="B16" s="102" t="s">
        <v>260</v>
      </c>
      <c r="C16" s="445"/>
      <c r="D16" s="445"/>
      <c r="E16" s="445"/>
      <c r="F16" s="445"/>
      <c r="G16" s="445"/>
      <c r="H16" s="445"/>
    </row>
    <row r="17" spans="1:9" ht="31.5">
      <c r="A17" s="184" t="s">
        <v>261</v>
      </c>
      <c r="B17" s="184"/>
      <c r="C17" s="237">
        <f>C18+C19</f>
        <v>0</v>
      </c>
      <c r="D17" s="237">
        <f t="shared" ref="D17:H17" si="3">D18+D19</f>
        <v>0</v>
      </c>
      <c r="E17" s="237">
        <f t="shared" si="3"/>
        <v>0</v>
      </c>
      <c r="F17" s="237">
        <f t="shared" si="3"/>
        <v>0</v>
      </c>
      <c r="G17" s="237">
        <f>G18+G19</f>
        <v>0</v>
      </c>
      <c r="H17" s="237">
        <f t="shared" si="3"/>
        <v>0</v>
      </c>
    </row>
    <row r="18" spans="1:9" ht="15.75">
      <c r="A18" s="102"/>
      <c r="B18" s="102" t="s">
        <v>262</v>
      </c>
      <c r="C18" s="446"/>
      <c r="D18" s="446"/>
      <c r="E18" s="446"/>
      <c r="F18" s="446"/>
      <c r="G18" s="445"/>
      <c r="H18" s="445"/>
    </row>
    <row r="19" spans="1:9" ht="15.75">
      <c r="A19" s="176"/>
      <c r="B19" s="102" t="s">
        <v>263</v>
      </c>
      <c r="C19" s="446"/>
      <c r="D19" s="446"/>
      <c r="E19" s="446"/>
      <c r="F19" s="446"/>
      <c r="G19" s="445"/>
      <c r="H19" s="445"/>
    </row>
    <row r="20" spans="1:9" ht="14.25" customHeight="1">
      <c r="A20" s="184" t="s">
        <v>264</v>
      </c>
      <c r="B20" s="184"/>
      <c r="C20" s="807">
        <f>C21+C22</f>
        <v>0</v>
      </c>
      <c r="D20" s="807">
        <f t="shared" ref="D20:H20" si="4">D21+D22</f>
        <v>0</v>
      </c>
      <c r="E20" s="807">
        <f t="shared" si="4"/>
        <v>0</v>
      </c>
      <c r="F20" s="807">
        <f t="shared" si="4"/>
        <v>0</v>
      </c>
      <c r="G20" s="807">
        <f>G21+G22</f>
        <v>0</v>
      </c>
      <c r="H20" s="807">
        <f t="shared" si="4"/>
        <v>0</v>
      </c>
      <c r="I20" s="293" t="s">
        <v>485</v>
      </c>
    </row>
    <row r="21" spans="1:9" ht="15.75">
      <c r="A21" s="102"/>
      <c r="B21" s="102" t="s">
        <v>265</v>
      </c>
      <c r="C21" s="445"/>
      <c r="D21" s="445"/>
      <c r="E21" s="445"/>
      <c r="F21" s="445"/>
      <c r="G21" s="445"/>
      <c r="H21" s="445"/>
    </row>
    <row r="22" spans="1:9" ht="15.75">
      <c r="A22" s="212"/>
      <c r="B22" s="102" t="s">
        <v>266</v>
      </c>
      <c r="C22" s="445"/>
      <c r="D22" s="445"/>
      <c r="E22" s="445"/>
      <c r="F22" s="445"/>
      <c r="G22" s="445"/>
      <c r="H22" s="445"/>
    </row>
    <row r="23" spans="1:9" ht="31.5">
      <c r="A23" s="184" t="s">
        <v>267</v>
      </c>
      <c r="B23" s="184"/>
      <c r="C23" s="237">
        <f>SUM(C24:C26)</f>
        <v>0</v>
      </c>
      <c r="D23" s="237">
        <f t="shared" ref="D23:H23" si="5">SUM(D24:D26)</f>
        <v>0</v>
      </c>
      <c r="E23" s="237">
        <f t="shared" si="5"/>
        <v>0</v>
      </c>
      <c r="F23" s="237">
        <f t="shared" si="5"/>
        <v>0</v>
      </c>
      <c r="G23" s="237">
        <f>SUM(G24:G26)</f>
        <v>0</v>
      </c>
      <c r="H23" s="237">
        <f t="shared" si="5"/>
        <v>0</v>
      </c>
    </row>
    <row r="24" spans="1:9" ht="15.75">
      <c r="A24" s="102"/>
      <c r="B24" s="102" t="s">
        <v>268</v>
      </c>
      <c r="C24" s="445"/>
      <c r="D24" s="445"/>
      <c r="E24" s="445"/>
      <c r="F24" s="445"/>
      <c r="G24" s="445"/>
      <c r="H24" s="445"/>
    </row>
    <row r="25" spans="1:9" ht="15.75">
      <c r="A25" s="102"/>
      <c r="B25" s="102" t="s">
        <v>269</v>
      </c>
      <c r="C25" s="445"/>
      <c r="D25" s="445"/>
      <c r="E25" s="445"/>
      <c r="F25" s="445"/>
      <c r="G25" s="445"/>
      <c r="H25" s="445"/>
    </row>
    <row r="26" spans="1:9" ht="15.75">
      <c r="A26" s="176"/>
      <c r="B26" s="102" t="s">
        <v>270</v>
      </c>
      <c r="C26" s="445"/>
      <c r="D26" s="445"/>
      <c r="E26" s="445"/>
      <c r="F26" s="445"/>
      <c r="G26" s="445"/>
      <c r="H26" s="445"/>
    </row>
    <row r="27" spans="1:9" ht="31.5">
      <c r="A27" s="184" t="s">
        <v>271</v>
      </c>
      <c r="B27" s="184"/>
      <c r="C27" s="237">
        <f>C28+C29+C30+C31+C32</f>
        <v>1590</v>
      </c>
      <c r="D27" s="237">
        <f>D28+D29+D30+D31+D32</f>
        <v>633</v>
      </c>
      <c r="E27" s="237">
        <f t="shared" ref="E27:H27" si="6">E28+E29+E30+E31+E32</f>
        <v>0</v>
      </c>
      <c r="F27" s="237">
        <f t="shared" si="6"/>
        <v>0</v>
      </c>
      <c r="G27" s="237">
        <f>G28+G29+G30+G31+G32</f>
        <v>171</v>
      </c>
      <c r="H27" s="237">
        <f t="shared" si="6"/>
        <v>0</v>
      </c>
    </row>
    <row r="28" spans="1:9" ht="15.75">
      <c r="A28" s="102"/>
      <c r="B28" s="102" t="s">
        <v>272</v>
      </c>
      <c r="C28" s="445">
        <v>125</v>
      </c>
      <c r="D28" s="445">
        <v>87</v>
      </c>
      <c r="E28" s="445"/>
      <c r="F28" s="445"/>
      <c r="G28" s="445">
        <v>43</v>
      </c>
      <c r="H28" s="445"/>
    </row>
    <row r="29" spans="1:9" ht="15.75">
      <c r="A29" s="102"/>
      <c r="B29" s="102" t="s">
        <v>273</v>
      </c>
      <c r="C29" s="445">
        <v>390</v>
      </c>
      <c r="D29" s="445">
        <v>227</v>
      </c>
      <c r="E29" s="445"/>
      <c r="F29" s="445"/>
      <c r="G29" s="445"/>
      <c r="H29" s="445"/>
    </row>
    <row r="30" spans="1:9" ht="15.75">
      <c r="A30" s="102"/>
      <c r="B30" s="102" t="s">
        <v>274</v>
      </c>
      <c r="C30" s="49">
        <v>1075</v>
      </c>
      <c r="D30" s="49">
        <v>319</v>
      </c>
      <c r="E30" s="49"/>
      <c r="F30" s="49"/>
      <c r="G30" s="49">
        <v>128</v>
      </c>
      <c r="H30" s="49"/>
    </row>
    <row r="31" spans="1:9" ht="15.75">
      <c r="A31" s="102"/>
      <c r="B31" s="102" t="s">
        <v>275</v>
      </c>
      <c r="C31" s="49"/>
      <c r="D31" s="49"/>
      <c r="E31" s="49"/>
      <c r="F31" s="49"/>
      <c r="G31" s="49"/>
      <c r="H31" s="49"/>
    </row>
    <row r="32" spans="1:9" ht="15.75">
      <c r="A32" s="212"/>
      <c r="B32" s="102" t="s">
        <v>276</v>
      </c>
      <c r="C32" s="445"/>
      <c r="D32" s="445"/>
      <c r="E32" s="445"/>
      <c r="F32" s="445"/>
      <c r="G32" s="445"/>
      <c r="H32" s="445"/>
    </row>
    <row r="33" spans="1:8" ht="31.5">
      <c r="A33" s="184" t="s">
        <v>277</v>
      </c>
      <c r="B33" s="184"/>
      <c r="C33" s="237">
        <f>SUM(C34:C38)</f>
        <v>0</v>
      </c>
      <c r="D33" s="237">
        <f t="shared" ref="D33:H33" si="7">SUM(D34:D38)</f>
        <v>0</v>
      </c>
      <c r="E33" s="237">
        <f t="shared" si="7"/>
        <v>0</v>
      </c>
      <c r="F33" s="237">
        <f t="shared" si="7"/>
        <v>0</v>
      </c>
      <c r="G33" s="237">
        <f>SUM(G34:G38)</f>
        <v>0</v>
      </c>
      <c r="H33" s="237">
        <f t="shared" si="7"/>
        <v>0</v>
      </c>
    </row>
    <row r="34" spans="1:8" ht="15.75">
      <c r="A34" s="102"/>
      <c r="B34" s="102" t="s">
        <v>278</v>
      </c>
      <c r="C34" s="445"/>
      <c r="D34" s="445"/>
      <c r="E34" s="445"/>
      <c r="F34" s="445"/>
      <c r="G34" s="445"/>
      <c r="H34" s="445"/>
    </row>
    <row r="35" spans="1:8" ht="15.75">
      <c r="A35" s="102"/>
      <c r="B35" s="102" t="s">
        <v>279</v>
      </c>
      <c r="C35" s="445"/>
      <c r="D35" s="445"/>
      <c r="E35" s="445"/>
      <c r="F35" s="445"/>
      <c r="G35" s="445"/>
      <c r="H35" s="445"/>
    </row>
    <row r="36" spans="1:8" ht="15.75">
      <c r="A36" s="102"/>
      <c r="B36" s="102" t="s">
        <v>280</v>
      </c>
      <c r="C36" s="445"/>
      <c r="D36" s="445"/>
      <c r="E36" s="445"/>
      <c r="F36" s="445"/>
      <c r="G36" s="445"/>
      <c r="H36" s="445"/>
    </row>
    <row r="37" spans="1:8" ht="15.75">
      <c r="A37" s="102"/>
      <c r="B37" s="102" t="s">
        <v>281</v>
      </c>
      <c r="C37" s="445"/>
      <c r="D37" s="445"/>
      <c r="E37" s="445"/>
      <c r="F37" s="445"/>
      <c r="G37" s="445"/>
      <c r="H37" s="445"/>
    </row>
    <row r="38" spans="1:8" ht="15.75">
      <c r="A38" s="212"/>
      <c r="B38" s="102" t="s">
        <v>282</v>
      </c>
      <c r="C38" s="445"/>
      <c r="D38" s="445"/>
      <c r="E38" s="445"/>
      <c r="F38" s="445"/>
      <c r="G38" s="445"/>
      <c r="H38" s="445"/>
    </row>
    <row r="39" spans="1:8" ht="31.5">
      <c r="A39" s="184" t="s">
        <v>283</v>
      </c>
      <c r="B39" s="184"/>
      <c r="C39" s="237">
        <f>SUM(C40:C44)</f>
        <v>20</v>
      </c>
      <c r="D39" s="237">
        <f t="shared" ref="D39:H39" si="8">SUM(D40:D44)</f>
        <v>15</v>
      </c>
      <c r="E39" s="237">
        <f t="shared" si="8"/>
        <v>0</v>
      </c>
      <c r="F39" s="237">
        <f t="shared" si="8"/>
        <v>0</v>
      </c>
      <c r="G39" s="237">
        <f>SUM(G40:G44)</f>
        <v>2</v>
      </c>
      <c r="H39" s="237">
        <f t="shared" si="8"/>
        <v>0</v>
      </c>
    </row>
    <row r="40" spans="1:8" ht="15.75">
      <c r="A40" s="102"/>
      <c r="B40" s="102" t="s">
        <v>284</v>
      </c>
      <c r="C40" s="445"/>
      <c r="D40" s="445"/>
      <c r="E40" s="445"/>
      <c r="F40" s="445"/>
      <c r="G40" s="445"/>
      <c r="H40" s="445"/>
    </row>
    <row r="41" spans="1:8" ht="15.75">
      <c r="A41" s="102"/>
      <c r="B41" s="102" t="s">
        <v>285</v>
      </c>
      <c r="C41" s="445"/>
      <c r="D41" s="445"/>
      <c r="E41" s="445"/>
      <c r="F41" s="445"/>
      <c r="G41" s="445"/>
      <c r="H41" s="445"/>
    </row>
    <row r="42" spans="1:8" ht="15.75">
      <c r="A42" s="102"/>
      <c r="B42" s="102" t="s">
        <v>286</v>
      </c>
      <c r="C42" s="445">
        <v>20</v>
      </c>
      <c r="D42" s="445">
        <v>15</v>
      </c>
      <c r="E42" s="445"/>
      <c r="F42" s="445"/>
      <c r="G42" s="445">
        <v>2</v>
      </c>
      <c r="H42" s="445"/>
    </row>
    <row r="43" spans="1:8" ht="15.75">
      <c r="A43" s="102"/>
      <c r="B43" s="102" t="s">
        <v>287</v>
      </c>
      <c r="C43" s="445"/>
      <c r="D43" s="445"/>
      <c r="E43" s="445"/>
      <c r="F43" s="445"/>
      <c r="G43" s="445"/>
      <c r="H43" s="445"/>
    </row>
    <row r="44" spans="1:8" ht="15.75">
      <c r="A44" s="176"/>
      <c r="B44" s="102" t="s">
        <v>298</v>
      </c>
      <c r="C44" s="445"/>
      <c r="D44" s="445"/>
      <c r="E44" s="445"/>
      <c r="F44" s="445"/>
      <c r="G44" s="445"/>
      <c r="H44" s="445"/>
    </row>
    <row r="45" spans="1:8" ht="31.5">
      <c r="A45" s="184" t="s">
        <v>288</v>
      </c>
      <c r="B45" s="184"/>
      <c r="C45" s="237">
        <f>SUM(C46:C48)</f>
        <v>0</v>
      </c>
      <c r="D45" s="237">
        <f t="shared" ref="D45:H45" si="9">SUM(D46:D48)</f>
        <v>0</v>
      </c>
      <c r="E45" s="237">
        <f t="shared" si="9"/>
        <v>0</v>
      </c>
      <c r="F45" s="237">
        <f t="shared" si="9"/>
        <v>0</v>
      </c>
      <c r="G45" s="237">
        <f>SUM(G46:G48)</f>
        <v>0</v>
      </c>
      <c r="H45" s="237">
        <f t="shared" si="9"/>
        <v>0</v>
      </c>
    </row>
    <row r="46" spans="1:8" ht="15.75">
      <c r="A46" s="102"/>
      <c r="B46" s="102" t="s">
        <v>289</v>
      </c>
      <c r="C46" s="445"/>
      <c r="D46" s="445"/>
      <c r="E46" s="445"/>
      <c r="F46" s="445"/>
      <c r="G46" s="445"/>
      <c r="H46" s="445"/>
    </row>
    <row r="47" spans="1:8" ht="15.75">
      <c r="A47" s="102"/>
      <c r="B47" s="102" t="s">
        <v>290</v>
      </c>
      <c r="C47" s="445"/>
      <c r="D47" s="445"/>
      <c r="E47" s="445"/>
      <c r="F47" s="445"/>
      <c r="G47" s="445"/>
      <c r="H47" s="445"/>
    </row>
    <row r="48" spans="1:8" ht="15.75">
      <c r="A48" s="176"/>
      <c r="B48" s="102" t="s">
        <v>291</v>
      </c>
      <c r="C48" s="444"/>
      <c r="D48" s="444"/>
      <c r="E48" s="444"/>
      <c r="F48" s="444"/>
      <c r="G48" s="444"/>
      <c r="H48" s="444"/>
    </row>
    <row r="49" spans="1:8" ht="31.5">
      <c r="A49" s="184" t="s">
        <v>292</v>
      </c>
      <c r="B49" s="184"/>
      <c r="C49" s="325">
        <f>SUM(C50:C53)</f>
        <v>247</v>
      </c>
      <c r="D49" s="801">
        <f t="shared" ref="D49:H49" si="10">SUM(D50:D53)</f>
        <v>92</v>
      </c>
      <c r="E49" s="801">
        <f t="shared" si="10"/>
        <v>0</v>
      </c>
      <c r="F49" s="801">
        <f t="shared" si="10"/>
        <v>0</v>
      </c>
      <c r="G49" s="801">
        <f>SUM(G50:G53)</f>
        <v>25</v>
      </c>
      <c r="H49" s="801">
        <f t="shared" si="10"/>
        <v>0</v>
      </c>
    </row>
    <row r="50" spans="1:8" ht="15.75">
      <c r="A50" s="102"/>
      <c r="B50" s="102" t="s">
        <v>293</v>
      </c>
      <c r="C50" s="444"/>
      <c r="D50" s="444"/>
      <c r="E50" s="444"/>
      <c r="F50" s="444"/>
      <c r="G50" s="444"/>
      <c r="H50" s="444"/>
    </row>
    <row r="51" spans="1:8" ht="31.5">
      <c r="A51" s="102"/>
      <c r="B51" s="102" t="s">
        <v>294</v>
      </c>
      <c r="C51" s="444"/>
      <c r="D51" s="444"/>
      <c r="E51" s="444"/>
      <c r="F51" s="444"/>
      <c r="G51" s="444"/>
      <c r="H51" s="444"/>
    </row>
    <row r="52" spans="1:8" ht="15.75">
      <c r="A52" s="102"/>
      <c r="B52" s="102" t="s">
        <v>295</v>
      </c>
      <c r="C52" s="444"/>
      <c r="D52" s="444"/>
      <c r="E52" s="444"/>
      <c r="F52" s="444"/>
      <c r="G52" s="444"/>
      <c r="H52" s="444"/>
    </row>
    <row r="53" spans="1:8" ht="15.75">
      <c r="A53" s="209"/>
      <c r="B53" s="102" t="s">
        <v>296</v>
      </c>
      <c r="C53" s="444">
        <v>247</v>
      </c>
      <c r="D53" s="444">
        <v>92</v>
      </c>
      <c r="E53" s="444"/>
      <c r="F53" s="444"/>
      <c r="G53" s="444">
        <v>25</v>
      </c>
      <c r="H53" s="444"/>
    </row>
    <row r="54" spans="1:8" ht="36" customHeight="1">
      <c r="A54" s="449" t="s">
        <v>78</v>
      </c>
      <c r="B54" s="448"/>
      <c r="C54" s="450">
        <f>C3+C5+C10+C13+C17+C20+C23+C27+C33+C39+C45+C49</f>
        <v>1981</v>
      </c>
      <c r="D54" s="450">
        <f>D3+D5+D10+D13+D17+D23+D27+D33+D39+D45+D49</f>
        <v>771</v>
      </c>
      <c r="E54" s="450">
        <f t="shared" ref="E54:H54" si="11">E3+E5+E10+E13+E17+E23+E27+E33+E39+E45+E49</f>
        <v>0</v>
      </c>
      <c r="F54" s="450">
        <f t="shared" si="11"/>
        <v>0</v>
      </c>
      <c r="G54" s="450">
        <f>G3+G5+G10+G13+G17+G20+G23+G27+G33+G39+G45+G49</f>
        <v>198</v>
      </c>
      <c r="H54" s="450">
        <f t="shared" si="11"/>
        <v>0</v>
      </c>
    </row>
  </sheetData>
  <mergeCells count="4">
    <mergeCell ref="A1:A2"/>
    <mergeCell ref="B1:B2"/>
    <mergeCell ref="C1:H1"/>
    <mergeCell ref="I3:N3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E33"/>
  <sheetViews>
    <sheetView workbookViewId="0">
      <selection activeCell="B20" sqref="B20"/>
    </sheetView>
  </sheetViews>
  <sheetFormatPr defaultRowHeight="15"/>
  <cols>
    <col min="1" max="1" width="6.85546875" style="291" customWidth="1"/>
    <col min="2" max="2" width="66.28515625" style="291" customWidth="1"/>
    <col min="3" max="3" width="18.5703125" style="291" customWidth="1"/>
    <col min="4" max="4" width="19.5703125" style="291" customWidth="1"/>
    <col min="5" max="5" width="18.42578125" style="291" customWidth="1"/>
    <col min="6" max="16384" width="9.140625" style="291"/>
  </cols>
  <sheetData>
    <row r="1" spans="1:5" ht="15" customHeight="1">
      <c r="A1" s="1364" t="s">
        <v>126</v>
      </c>
      <c r="B1" s="1364" t="s">
        <v>172</v>
      </c>
      <c r="C1" s="1364" t="s">
        <v>173</v>
      </c>
      <c r="D1" s="1364" t="s">
        <v>174</v>
      </c>
      <c r="E1" s="1364" t="s">
        <v>175</v>
      </c>
    </row>
    <row r="2" spans="1:5" ht="26.25" customHeight="1">
      <c r="A2" s="1365"/>
      <c r="B2" s="1365"/>
      <c r="C2" s="1365"/>
      <c r="D2" s="1365"/>
      <c r="E2" s="1365"/>
    </row>
    <row r="3" spans="1:5">
      <c r="A3" s="393">
        <v>1</v>
      </c>
      <c r="B3" s="393">
        <v>2</v>
      </c>
      <c r="C3" s="393">
        <v>3</v>
      </c>
      <c r="D3" s="393">
        <v>4</v>
      </c>
      <c r="E3" s="393">
        <v>5</v>
      </c>
    </row>
    <row r="4" spans="1:5" ht="33">
      <c r="A4" s="393">
        <v>1</v>
      </c>
      <c r="B4" s="451" t="s">
        <v>199</v>
      </c>
      <c r="C4" s="452"/>
      <c r="D4" s="452"/>
      <c r="E4" s="452"/>
    </row>
    <row r="5" spans="1:5" ht="16.5">
      <c r="A5" s="393">
        <v>2</v>
      </c>
      <c r="B5" s="451" t="s">
        <v>176</v>
      </c>
      <c r="C5" s="452"/>
      <c r="D5" s="452"/>
      <c r="E5" s="452"/>
    </row>
    <row r="6" spans="1:5" ht="16.5">
      <c r="A6" s="393">
        <v>3</v>
      </c>
      <c r="B6" s="451" t="s">
        <v>177</v>
      </c>
      <c r="C6" s="452"/>
      <c r="D6" s="452"/>
      <c r="E6" s="452"/>
    </row>
    <row r="7" spans="1:5" ht="16.5">
      <c r="A7" s="393">
        <v>4</v>
      </c>
      <c r="B7" s="451" t="s">
        <v>178</v>
      </c>
      <c r="C7" s="452"/>
      <c r="D7" s="452"/>
      <c r="E7" s="452"/>
    </row>
    <row r="8" spans="1:5" ht="16.5">
      <c r="A8" s="393">
        <v>5</v>
      </c>
      <c r="B8" s="451" t="s">
        <v>179</v>
      </c>
      <c r="C8" s="452"/>
      <c r="D8" s="452"/>
      <c r="E8" s="452"/>
    </row>
    <row r="9" spans="1:5" ht="16.5">
      <c r="A9" s="393">
        <v>6</v>
      </c>
      <c r="B9" s="451" t="s">
        <v>198</v>
      </c>
      <c r="C9" s="452"/>
      <c r="D9" s="452"/>
      <c r="E9" s="452"/>
    </row>
    <row r="10" spans="1:5" ht="16.5">
      <c r="A10" s="393">
        <v>7</v>
      </c>
      <c r="B10" s="451" t="s">
        <v>180</v>
      </c>
      <c r="C10" s="452"/>
      <c r="D10" s="452"/>
      <c r="E10" s="452"/>
    </row>
    <row r="11" spans="1:5" ht="21" customHeight="1">
      <c r="A11" s="393">
        <v>8</v>
      </c>
      <c r="B11" s="451" t="s">
        <v>181</v>
      </c>
      <c r="C11" s="452"/>
      <c r="D11" s="452"/>
      <c r="E11" s="452"/>
    </row>
    <row r="12" spans="1:5" ht="16.5">
      <c r="A12" s="393">
        <v>9</v>
      </c>
      <c r="B12" s="451" t="s">
        <v>197</v>
      </c>
      <c r="C12" s="452"/>
      <c r="D12" s="452"/>
      <c r="E12" s="452"/>
    </row>
    <row r="13" spans="1:5" ht="16.5">
      <c r="A13" s="393">
        <v>10</v>
      </c>
      <c r="B13" s="451" t="s">
        <v>182</v>
      </c>
      <c r="C13" s="452"/>
      <c r="D13" s="452"/>
      <c r="E13" s="452"/>
    </row>
    <row r="14" spans="1:5" ht="16.5">
      <c r="A14" s="393">
        <v>11</v>
      </c>
      <c r="B14" s="451" t="s">
        <v>183</v>
      </c>
      <c r="C14" s="452"/>
      <c r="D14" s="452"/>
      <c r="E14" s="452"/>
    </row>
    <row r="15" spans="1:5" ht="16.5">
      <c r="A15" s="393">
        <v>12</v>
      </c>
      <c r="B15" s="451" t="s">
        <v>184</v>
      </c>
      <c r="C15" s="452"/>
      <c r="D15" s="452"/>
      <c r="E15" s="452"/>
    </row>
    <row r="16" spans="1:5" ht="16.5">
      <c r="A16" s="393"/>
      <c r="B16" s="451" t="s">
        <v>185</v>
      </c>
      <c r="C16" s="452"/>
      <c r="D16" s="452"/>
      <c r="E16" s="452"/>
    </row>
    <row r="17" spans="1:5" ht="16.5">
      <c r="A17" s="393"/>
      <c r="B17" s="451" t="s">
        <v>186</v>
      </c>
      <c r="C17" s="452"/>
      <c r="D17" s="452"/>
      <c r="E17" s="452"/>
    </row>
    <row r="18" spans="1:5" ht="16.5">
      <c r="A18" s="393"/>
      <c r="B18" s="451" t="s">
        <v>187</v>
      </c>
      <c r="C18" s="452"/>
      <c r="D18" s="452"/>
      <c r="E18" s="452"/>
    </row>
    <row r="19" spans="1:5" ht="16.5">
      <c r="A19" s="393">
        <v>13</v>
      </c>
      <c r="B19" s="451" t="s">
        <v>188</v>
      </c>
      <c r="C19" s="452"/>
      <c r="D19" s="452"/>
      <c r="E19" s="452"/>
    </row>
    <row r="20" spans="1:5" ht="16.5">
      <c r="A20" s="393">
        <v>14</v>
      </c>
      <c r="B20" s="451" t="s">
        <v>189</v>
      </c>
      <c r="C20" s="452"/>
      <c r="D20" s="452"/>
      <c r="E20" s="452"/>
    </row>
    <row r="21" spans="1:5" ht="16.5">
      <c r="A21" s="393">
        <v>15</v>
      </c>
      <c r="B21" s="451" t="s">
        <v>190</v>
      </c>
      <c r="C21" s="452"/>
      <c r="D21" s="452"/>
      <c r="E21" s="452"/>
    </row>
    <row r="22" spans="1:5" ht="16.5">
      <c r="A22" s="393">
        <v>16</v>
      </c>
      <c r="B22" s="451" t="s">
        <v>191</v>
      </c>
      <c r="C22" s="452"/>
      <c r="D22" s="452"/>
      <c r="E22" s="452"/>
    </row>
    <row r="23" spans="1:5" ht="16.5">
      <c r="A23" s="393">
        <v>17</v>
      </c>
      <c r="B23" s="451" t="s">
        <v>192</v>
      </c>
      <c r="C23" s="452"/>
      <c r="D23" s="452"/>
      <c r="E23" s="452"/>
    </row>
    <row r="24" spans="1:5" ht="16.5">
      <c r="A24" s="393">
        <v>18</v>
      </c>
      <c r="B24" s="451" t="s">
        <v>193</v>
      </c>
      <c r="C24" s="452"/>
      <c r="D24" s="452"/>
      <c r="E24" s="452"/>
    </row>
    <row r="25" spans="1:5" ht="16.5">
      <c r="A25" s="393">
        <v>19</v>
      </c>
      <c r="B25" s="451" t="s">
        <v>194</v>
      </c>
      <c r="C25" s="452"/>
      <c r="D25" s="452"/>
      <c r="E25" s="452"/>
    </row>
    <row r="26" spans="1:5" ht="33">
      <c r="A26" s="393">
        <v>20</v>
      </c>
      <c r="B26" s="451" t="s">
        <v>195</v>
      </c>
      <c r="C26" s="452"/>
      <c r="D26" s="452"/>
      <c r="E26" s="452"/>
    </row>
    <row r="27" spans="1:5">
      <c r="A27" s="393"/>
      <c r="B27" s="453" t="s">
        <v>196</v>
      </c>
      <c r="C27" s="454">
        <f>SUM(C4:C26)</f>
        <v>0</v>
      </c>
      <c r="D27" s="455">
        <f>C27*100/'половозраст состав'!F104</f>
        <v>0</v>
      </c>
      <c r="E27" s="456">
        <f>C27*100/Численность!G52</f>
        <v>0</v>
      </c>
    </row>
    <row r="33" spans="3:3">
      <c r="C33" s="291">
        <v>28</v>
      </c>
    </row>
  </sheetData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T144"/>
  <sheetViews>
    <sheetView topLeftCell="H1" zoomScaleSheetLayoutView="100" workbookViewId="0">
      <selection activeCell="I2" sqref="I2:M54"/>
    </sheetView>
  </sheetViews>
  <sheetFormatPr defaultRowHeight="15"/>
  <cols>
    <col min="1" max="1" width="25.28515625" style="30" customWidth="1"/>
    <col min="2" max="4" width="9.140625" style="30"/>
    <col min="5" max="5" width="28.7109375" style="30" customWidth="1"/>
    <col min="6" max="6" width="10.5703125" style="30" customWidth="1"/>
    <col min="7" max="7" width="4.5703125" style="30" customWidth="1"/>
    <col min="8" max="8" width="29" style="30" customWidth="1"/>
    <col min="9" max="9" width="23.85546875" style="30" customWidth="1"/>
    <col min="10" max="10" width="11.7109375" style="30" customWidth="1"/>
    <col min="11" max="11" width="7.7109375" style="30" hidden="1" customWidth="1"/>
    <col min="12" max="12" width="12.85546875" style="30" customWidth="1"/>
    <col min="13" max="13" width="16.85546875" style="30" customWidth="1"/>
    <col min="14" max="18" width="9.140625" style="30"/>
    <col min="19" max="19" width="14.140625" style="30" bestFit="1" customWidth="1"/>
    <col min="20" max="16384" width="9.140625" style="30"/>
  </cols>
  <sheetData>
    <row r="2" spans="1:17" ht="55.5" customHeight="1">
      <c r="A2" s="205" t="s">
        <v>302</v>
      </c>
      <c r="H2" s="2" t="s">
        <v>507</v>
      </c>
      <c r="I2" s="2" t="s">
        <v>2</v>
      </c>
      <c r="J2" s="2" t="s">
        <v>513</v>
      </c>
      <c r="K2" s="2" t="s">
        <v>48</v>
      </c>
      <c r="L2" s="2" t="s">
        <v>511</v>
      </c>
      <c r="M2" s="2" t="s">
        <v>512</v>
      </c>
    </row>
    <row r="3" spans="1:17" ht="15.75">
      <c r="A3" s="2" t="s">
        <v>49</v>
      </c>
      <c r="B3" s="2">
        <v>2008</v>
      </c>
      <c r="C3" s="2">
        <v>2009</v>
      </c>
      <c r="D3" s="2">
        <v>2010</v>
      </c>
      <c r="E3" s="27" t="s">
        <v>50</v>
      </c>
      <c r="H3" s="2">
        <v>1</v>
      </c>
      <c r="I3" s="2">
        <v>2</v>
      </c>
      <c r="J3" s="2">
        <v>3</v>
      </c>
      <c r="K3" s="2"/>
      <c r="L3" s="2">
        <v>4</v>
      </c>
      <c r="M3" s="719">
        <v>5</v>
      </c>
    </row>
    <row r="4" spans="1:17" ht="30">
      <c r="A4" s="28" t="s">
        <v>51</v>
      </c>
      <c r="B4" s="3">
        <f>Численность!D4</f>
        <v>7983</v>
      </c>
      <c r="C4" s="3">
        <f>Численность!E4</f>
        <v>7977</v>
      </c>
      <c r="D4" s="3">
        <f>Численность!F4</f>
        <v>7953</v>
      </c>
      <c r="E4" s="3">
        <f>Численность!G4</f>
        <v>7885</v>
      </c>
      <c r="F4" s="30" t="s">
        <v>52</v>
      </c>
      <c r="H4" s="720" t="s">
        <v>302</v>
      </c>
      <c r="I4" s="720" t="s">
        <v>302</v>
      </c>
      <c r="J4" s="714">
        <f>Численность!G3</f>
        <v>7885</v>
      </c>
      <c r="K4" s="714">
        <v>100</v>
      </c>
      <c r="L4" s="717">
        <f>E4+(E9*10)+(E10*10)</f>
        <v>7558.333333333333</v>
      </c>
      <c r="M4" s="717">
        <f>E4+(E9*20)+(E10*20)</f>
        <v>7231.666666666667</v>
      </c>
      <c r="P4" s="225">
        <f>L4</f>
        <v>7558.333333333333</v>
      </c>
      <c r="Q4" s="225">
        <f>M4</f>
        <v>7231.666666666667</v>
      </c>
    </row>
    <row r="5" spans="1:17" ht="15.75">
      <c r="A5" s="28" t="s">
        <v>53</v>
      </c>
      <c r="B5" s="2">
        <v>84</v>
      </c>
      <c r="C5" s="2">
        <v>90</v>
      </c>
      <c r="D5" s="2">
        <v>95</v>
      </c>
      <c r="E5" s="29">
        <f t="shared" ref="E5:E10" si="0">(B5+C5+D5)/3</f>
        <v>89.666666666666671</v>
      </c>
      <c r="H5" s="721"/>
      <c r="I5" s="722" t="s">
        <v>302</v>
      </c>
      <c r="J5" s="3">
        <f>Численность!G4</f>
        <v>7885</v>
      </c>
      <c r="K5" s="718">
        <v>100</v>
      </c>
      <c r="L5" s="3">
        <f>L4</f>
        <v>7558.333333333333</v>
      </c>
      <c r="M5" s="3">
        <f>M4</f>
        <v>7231.666666666667</v>
      </c>
    </row>
    <row r="6" spans="1:17" ht="15.75">
      <c r="A6" s="28" t="s">
        <v>54</v>
      </c>
      <c r="B6" s="2">
        <v>179</v>
      </c>
      <c r="C6" s="2">
        <v>122</v>
      </c>
      <c r="D6" s="2">
        <v>136</v>
      </c>
      <c r="E6" s="29">
        <f t="shared" si="0"/>
        <v>145.66666666666666</v>
      </c>
      <c r="H6" s="723" t="s">
        <v>299</v>
      </c>
      <c r="I6" s="723" t="s">
        <v>299</v>
      </c>
      <c r="J6" s="714">
        <f>Численность!G5</f>
        <v>1736</v>
      </c>
      <c r="K6" s="718">
        <v>100</v>
      </c>
      <c r="L6" s="714">
        <f>SUM(L7:L10)</f>
        <v>1274</v>
      </c>
      <c r="M6" s="714">
        <f>SUM(M7:M10)</f>
        <v>824</v>
      </c>
    </row>
    <row r="7" spans="1:17" ht="15.75">
      <c r="A7" s="28" t="s">
        <v>55</v>
      </c>
      <c r="B7" s="2">
        <v>736</v>
      </c>
      <c r="C7" s="2">
        <v>759</v>
      </c>
      <c r="D7" s="2">
        <v>563</v>
      </c>
      <c r="E7" s="29">
        <f t="shared" si="0"/>
        <v>686</v>
      </c>
      <c r="H7" s="724"/>
      <c r="I7" s="725" t="s">
        <v>299</v>
      </c>
      <c r="J7" s="3">
        <f>Численность!G6</f>
        <v>1583</v>
      </c>
      <c r="K7" s="3">
        <v>92</v>
      </c>
      <c r="L7" s="718">
        <v>1186</v>
      </c>
      <c r="M7" s="718">
        <v>791</v>
      </c>
      <c r="O7" s="225">
        <f>SUM(K7:K10)</f>
        <v>100</v>
      </c>
      <c r="P7" s="225">
        <f>SUM(L7:L10)</f>
        <v>1274</v>
      </c>
      <c r="Q7" s="225">
        <f>SUM(M7:M10)</f>
        <v>824</v>
      </c>
    </row>
    <row r="8" spans="1:17" ht="15.75">
      <c r="A8" s="28" t="s">
        <v>56</v>
      </c>
      <c r="B8" s="2">
        <v>647</v>
      </c>
      <c r="C8" s="2">
        <v>751</v>
      </c>
      <c r="D8" s="2">
        <v>590</v>
      </c>
      <c r="E8" s="29">
        <f t="shared" si="0"/>
        <v>662.66666666666663</v>
      </c>
      <c r="H8" s="724"/>
      <c r="I8" s="725" t="s">
        <v>225</v>
      </c>
      <c r="J8" s="3">
        <f>Численность!G7</f>
        <v>21</v>
      </c>
      <c r="K8" s="3">
        <f>ROUND(J8*$K$6/$J$6,0)</f>
        <v>1</v>
      </c>
      <c r="L8" s="718">
        <v>11</v>
      </c>
      <c r="M8" s="718">
        <v>0</v>
      </c>
    </row>
    <row r="9" spans="1:17" ht="15.75">
      <c r="A9" s="28" t="s">
        <v>57</v>
      </c>
      <c r="B9" s="2">
        <f>B5-B6</f>
        <v>-95</v>
      </c>
      <c r="C9" s="2">
        <f>C5-C6</f>
        <v>-32</v>
      </c>
      <c r="D9" s="2">
        <f>D5-D6</f>
        <v>-41</v>
      </c>
      <c r="E9" s="29">
        <f t="shared" si="0"/>
        <v>-56</v>
      </c>
      <c r="H9" s="724"/>
      <c r="I9" s="725" t="s">
        <v>301</v>
      </c>
      <c r="J9" s="3">
        <f>Численность!G8</f>
        <v>59</v>
      </c>
      <c r="K9" s="3">
        <f>ROUND(J9*$K$6/$J$6,0)</f>
        <v>3</v>
      </c>
      <c r="L9" s="718">
        <v>33</v>
      </c>
      <c r="M9" s="718">
        <v>14</v>
      </c>
    </row>
    <row r="10" spans="1:17" ht="15.75">
      <c r="A10" s="28" t="s">
        <v>58</v>
      </c>
      <c r="B10" s="2">
        <f>B7-B8</f>
        <v>89</v>
      </c>
      <c r="C10" s="2">
        <f>C7-C8</f>
        <v>8</v>
      </c>
      <c r="D10" s="2">
        <f>D7-D8</f>
        <v>-27</v>
      </c>
      <c r="E10" s="29">
        <f t="shared" si="0"/>
        <v>23.333333333333332</v>
      </c>
      <c r="H10" s="212"/>
      <c r="I10" s="725" t="s">
        <v>300</v>
      </c>
      <c r="J10" s="3">
        <f>Численность!G9</f>
        <v>73</v>
      </c>
      <c r="K10" s="3">
        <f>ROUND(J10*$K$6/$J$6,0)</f>
        <v>4</v>
      </c>
      <c r="L10" s="718">
        <v>44</v>
      </c>
      <c r="M10" s="718">
        <v>19</v>
      </c>
    </row>
    <row r="11" spans="1:17" ht="15.75">
      <c r="A11" s="226"/>
      <c r="B11" s="50">
        <f>B4+B9+B10</f>
        <v>7977</v>
      </c>
      <c r="C11" s="50">
        <f>C4+C9+C10</f>
        <v>7953</v>
      </c>
      <c r="D11" s="50">
        <f>D4+D9+D10</f>
        <v>7885</v>
      </c>
      <c r="H11" s="212" t="s">
        <v>254</v>
      </c>
      <c r="I11" s="212" t="s">
        <v>254</v>
      </c>
      <c r="J11" s="714">
        <f>Численность!G10</f>
        <v>525</v>
      </c>
      <c r="K11" s="3">
        <v>100</v>
      </c>
      <c r="L11" s="714">
        <f>L12+L13</f>
        <v>430</v>
      </c>
      <c r="M11" s="714">
        <f>M12+M13</f>
        <v>240</v>
      </c>
    </row>
    <row r="12" spans="1:17" ht="15.75">
      <c r="A12" s="201" t="s">
        <v>299</v>
      </c>
      <c r="B12" s="50"/>
      <c r="C12" s="50"/>
      <c r="D12" s="50"/>
      <c r="H12" s="726"/>
      <c r="I12" s="214" t="s">
        <v>255</v>
      </c>
      <c r="J12" s="3">
        <f>Численность!G11</f>
        <v>232</v>
      </c>
      <c r="K12" s="3">
        <f>ROUND(J12*$K$11/$J$11,0)</f>
        <v>44</v>
      </c>
      <c r="L12" s="718">
        <v>195</v>
      </c>
      <c r="M12" s="718">
        <v>106</v>
      </c>
      <c r="O12" s="225">
        <f>K12+K13</f>
        <v>100</v>
      </c>
      <c r="P12" s="225">
        <f>L12+L13</f>
        <v>430</v>
      </c>
      <c r="Q12" s="225">
        <f>M12+M13</f>
        <v>240</v>
      </c>
    </row>
    <row r="13" spans="1:17" ht="15.75">
      <c r="A13" s="2" t="s">
        <v>49</v>
      </c>
      <c r="B13" s="2">
        <v>2008</v>
      </c>
      <c r="C13" s="2">
        <v>2009</v>
      </c>
      <c r="D13" s="2">
        <v>2010</v>
      </c>
      <c r="E13" s="27" t="s">
        <v>50</v>
      </c>
      <c r="F13" s="227"/>
      <c r="H13" s="213"/>
      <c r="I13" s="214" t="s">
        <v>256</v>
      </c>
      <c r="J13" s="3">
        <f>Численность!G12</f>
        <v>293</v>
      </c>
      <c r="K13" s="3">
        <f>ROUND(J13*$K$11/$J$11,0)</f>
        <v>56</v>
      </c>
      <c r="L13" s="718">
        <v>235</v>
      </c>
      <c r="M13" s="718">
        <v>134</v>
      </c>
    </row>
    <row r="14" spans="1:17" ht="31.5">
      <c r="A14" s="28" t="s">
        <v>51</v>
      </c>
      <c r="B14" s="487">
        <f>Численность!D5</f>
        <v>1925</v>
      </c>
      <c r="C14" s="3">
        <f>Численность!E5</f>
        <v>1915</v>
      </c>
      <c r="D14" s="3">
        <f>Численность!F5</f>
        <v>1729</v>
      </c>
      <c r="E14" s="3">
        <f>Численность!G5</f>
        <v>1736</v>
      </c>
      <c r="F14" s="228">
        <f>E14+(E19*10)+(E20*10)</f>
        <v>1106</v>
      </c>
      <c r="H14" s="212" t="s">
        <v>257</v>
      </c>
      <c r="I14" s="212" t="s">
        <v>257</v>
      </c>
      <c r="J14" s="714">
        <f>Численность!G13</f>
        <v>1107</v>
      </c>
      <c r="K14" s="3">
        <v>100</v>
      </c>
      <c r="L14" s="714">
        <f>L15+L16+L17</f>
        <v>752</v>
      </c>
      <c r="M14" s="714">
        <f>M15+M16+M17</f>
        <v>472</v>
      </c>
    </row>
    <row r="15" spans="1:17" ht="15.75">
      <c r="A15" s="28" t="s">
        <v>53</v>
      </c>
      <c r="B15" s="2">
        <v>20</v>
      </c>
      <c r="C15" s="2">
        <v>12</v>
      </c>
      <c r="D15" s="2">
        <v>6</v>
      </c>
      <c r="E15" s="29">
        <f t="shared" ref="E15:E20" si="1">(B15+C15+D15)/3</f>
        <v>12.666666666666666</v>
      </c>
      <c r="F15" s="228">
        <f>E14+(E19*20)+(E20*20)</f>
        <v>475.99999999999977</v>
      </c>
      <c r="H15" s="214"/>
      <c r="I15" s="214" t="s">
        <v>258</v>
      </c>
      <c r="J15" s="3">
        <f>Численность!G14</f>
        <v>701</v>
      </c>
      <c r="K15" s="3">
        <f>ROUND(J15*$K$14/$J$14,0)</f>
        <v>63</v>
      </c>
      <c r="L15" s="718">
        <v>514</v>
      </c>
      <c r="M15" s="718">
        <v>406</v>
      </c>
      <c r="O15" s="225">
        <f>K15+K16+K17</f>
        <v>100</v>
      </c>
      <c r="P15" s="225">
        <f>L15+L16+L17</f>
        <v>752</v>
      </c>
      <c r="Q15" s="225">
        <f>M15+M16+M17</f>
        <v>472</v>
      </c>
    </row>
    <row r="16" spans="1:17" ht="15.75">
      <c r="A16" s="28" t="s">
        <v>54</v>
      </c>
      <c r="B16" s="2">
        <v>49</v>
      </c>
      <c r="C16" s="2">
        <v>36</v>
      </c>
      <c r="D16" s="2">
        <v>21</v>
      </c>
      <c r="E16" s="29">
        <f t="shared" si="1"/>
        <v>35.333333333333336</v>
      </c>
      <c r="F16" s="228"/>
      <c r="H16" s="214"/>
      <c r="I16" s="214" t="s">
        <v>259</v>
      </c>
      <c r="J16" s="3">
        <f>Численность!G15</f>
        <v>87</v>
      </c>
      <c r="K16" s="3">
        <f>ROUND(J16*$K$14/$J$14,0)</f>
        <v>8</v>
      </c>
      <c r="L16" s="718">
        <v>51</v>
      </c>
      <c r="M16" s="718">
        <v>14</v>
      </c>
    </row>
    <row r="17" spans="1:17" ht="15.75">
      <c r="A17" s="28" t="s">
        <v>55</v>
      </c>
      <c r="B17" s="2">
        <v>65</v>
      </c>
      <c r="C17" s="2">
        <v>56</v>
      </c>
      <c r="D17" s="2">
        <v>87</v>
      </c>
      <c r="E17" s="29">
        <f t="shared" si="1"/>
        <v>69.333333333333329</v>
      </c>
      <c r="F17" s="228"/>
      <c r="H17" s="212"/>
      <c r="I17" s="214" t="s">
        <v>260</v>
      </c>
      <c r="J17" s="3">
        <f>Численность!G16</f>
        <v>319</v>
      </c>
      <c r="K17" s="3">
        <f>ROUND(J17*$K$14/$J$14,0)</f>
        <v>29</v>
      </c>
      <c r="L17" s="718">
        <v>187</v>
      </c>
      <c r="M17" s="718">
        <v>52</v>
      </c>
    </row>
    <row r="18" spans="1:17" ht="18" customHeight="1">
      <c r="A18" s="28" t="s">
        <v>56</v>
      </c>
      <c r="B18" s="2">
        <v>46</v>
      </c>
      <c r="C18" s="2">
        <v>218</v>
      </c>
      <c r="D18" s="2">
        <v>65</v>
      </c>
      <c r="E18" s="29">
        <f t="shared" si="1"/>
        <v>109.66666666666667</v>
      </c>
      <c r="F18" s="228"/>
      <c r="H18" s="212" t="s">
        <v>261</v>
      </c>
      <c r="I18" s="212" t="s">
        <v>261</v>
      </c>
      <c r="J18" s="714">
        <f>Численность!G17</f>
        <v>782</v>
      </c>
      <c r="K18" s="714">
        <v>100</v>
      </c>
      <c r="L18" s="714">
        <f>L19+L20</f>
        <v>612</v>
      </c>
      <c r="M18" s="714">
        <f>M19+M20</f>
        <v>434</v>
      </c>
    </row>
    <row r="19" spans="1:17" ht="15.75">
      <c r="A19" s="28" t="s">
        <v>57</v>
      </c>
      <c r="B19" s="2">
        <f>B15-B16</f>
        <v>-29</v>
      </c>
      <c r="C19" s="2">
        <f>C15-C16</f>
        <v>-24</v>
      </c>
      <c r="D19" s="2">
        <f>D15-D16</f>
        <v>-15</v>
      </c>
      <c r="E19" s="29">
        <f t="shared" si="1"/>
        <v>-22.666666666666668</v>
      </c>
      <c r="F19" s="228"/>
      <c r="H19" s="214"/>
      <c r="I19" s="214" t="s">
        <v>262</v>
      </c>
      <c r="J19" s="3">
        <f>Численность!G18</f>
        <v>606</v>
      </c>
      <c r="K19" s="3">
        <f>ROUND(J19*$K$18/$J$18,0)</f>
        <v>77</v>
      </c>
      <c r="L19" s="718">
        <v>476</v>
      </c>
      <c r="M19" s="718">
        <v>346</v>
      </c>
      <c r="O19" s="225">
        <f>K19+K20</f>
        <v>100</v>
      </c>
      <c r="P19" s="225">
        <f>L19+L20</f>
        <v>612</v>
      </c>
      <c r="Q19" s="225">
        <f>M19+M20</f>
        <v>434</v>
      </c>
    </row>
    <row r="20" spans="1:17" ht="15.75">
      <c r="A20" s="28" t="s">
        <v>58</v>
      </c>
      <c r="B20" s="2">
        <f>B17-B18</f>
        <v>19</v>
      </c>
      <c r="C20" s="2">
        <f>C17-C18</f>
        <v>-162</v>
      </c>
      <c r="D20" s="2">
        <f>D17-D18</f>
        <v>22</v>
      </c>
      <c r="E20" s="29">
        <f t="shared" si="1"/>
        <v>-40.333333333333336</v>
      </c>
      <c r="F20" s="228"/>
      <c r="H20" s="212"/>
      <c r="I20" s="214" t="s">
        <v>263</v>
      </c>
      <c r="J20" s="3">
        <f>Численность!G19</f>
        <v>176</v>
      </c>
      <c r="K20" s="3">
        <f>ROUND(J20*$K$18/$J$18,0)</f>
        <v>23</v>
      </c>
      <c r="L20" s="718">
        <v>136</v>
      </c>
      <c r="M20" s="718">
        <v>88</v>
      </c>
    </row>
    <row r="21" spans="1:17" ht="15.75">
      <c r="A21" s="226"/>
      <c r="B21" s="229">
        <f>B14+B19+B20</f>
        <v>1915</v>
      </c>
      <c r="C21" s="229">
        <f>C14+C19+C20</f>
        <v>1729</v>
      </c>
      <c r="D21" s="229">
        <f>D14+D19+D20</f>
        <v>1736</v>
      </c>
      <c r="E21" s="230"/>
      <c r="H21" s="212" t="s">
        <v>264</v>
      </c>
      <c r="I21" s="212" t="s">
        <v>264</v>
      </c>
      <c r="J21" s="714">
        <f>Численность!G20</f>
        <v>480</v>
      </c>
      <c r="K21" s="714">
        <v>100</v>
      </c>
      <c r="L21" s="714">
        <f>L22+L23</f>
        <v>329</v>
      </c>
      <c r="M21" s="714">
        <f>M22+M23</f>
        <v>179</v>
      </c>
      <c r="O21" s="231"/>
      <c r="P21" s="231"/>
    </row>
    <row r="22" spans="1:17" ht="15.75">
      <c r="A22" s="184" t="s">
        <v>254</v>
      </c>
      <c r="B22" s="50"/>
      <c r="C22" s="50"/>
      <c r="D22" s="50"/>
      <c r="H22" s="214"/>
      <c r="I22" s="214" t="s">
        <v>265</v>
      </c>
      <c r="J22" s="3">
        <f>Численность!G21</f>
        <v>377</v>
      </c>
      <c r="K22" s="3">
        <f>ROUND(J22*$K$21/$J$21,0)</f>
        <v>79</v>
      </c>
      <c r="L22" s="718">
        <v>252</v>
      </c>
      <c r="M22" s="718">
        <v>127</v>
      </c>
      <c r="O22" s="225">
        <f>K22+K23</f>
        <v>100</v>
      </c>
      <c r="P22" s="225">
        <f>L22+L23</f>
        <v>329</v>
      </c>
      <c r="Q22" s="225">
        <f>M22+M23</f>
        <v>179</v>
      </c>
    </row>
    <row r="23" spans="1:17" ht="15.75">
      <c r="A23" s="2" t="s">
        <v>49</v>
      </c>
      <c r="B23" s="2">
        <v>2008</v>
      </c>
      <c r="C23" s="2">
        <v>2009</v>
      </c>
      <c r="D23" s="2">
        <v>2010</v>
      </c>
      <c r="E23" s="27" t="s">
        <v>50</v>
      </c>
      <c r="H23" s="212"/>
      <c r="I23" s="214" t="s">
        <v>266</v>
      </c>
      <c r="J23" s="3">
        <f>Численность!G22</f>
        <v>103</v>
      </c>
      <c r="K23" s="3">
        <f>ROUND(J23*$K$21/$J$21,0)</f>
        <v>21</v>
      </c>
      <c r="L23" s="718">
        <v>77</v>
      </c>
      <c r="M23" s="718">
        <v>52</v>
      </c>
    </row>
    <row r="24" spans="1:17" ht="22.5" customHeight="1">
      <c r="A24" s="28" t="s">
        <v>62</v>
      </c>
      <c r="B24" s="3">
        <f>Численность!D10</f>
        <v>507</v>
      </c>
      <c r="C24" s="3">
        <f>Численность!E10</f>
        <v>509</v>
      </c>
      <c r="D24" s="3">
        <f>Численность!F10</f>
        <v>509</v>
      </c>
      <c r="E24" s="3">
        <f>Численность!G10</f>
        <v>525</v>
      </c>
      <c r="F24" s="30" t="s">
        <v>52</v>
      </c>
      <c r="H24" s="212" t="s">
        <v>267</v>
      </c>
      <c r="I24" s="212" t="s">
        <v>267</v>
      </c>
      <c r="J24" s="714">
        <f>Численность!G23</f>
        <v>551</v>
      </c>
      <c r="K24" s="714">
        <v>100</v>
      </c>
      <c r="L24" s="714">
        <f>L25+L26+L27</f>
        <v>453</v>
      </c>
      <c r="M24" s="714">
        <f>M25+M26+M27</f>
        <v>356</v>
      </c>
    </row>
    <row r="25" spans="1:17" ht="15.75">
      <c r="A25" s="28" t="s">
        <v>53</v>
      </c>
      <c r="B25" s="2">
        <v>5</v>
      </c>
      <c r="C25" s="2">
        <v>6</v>
      </c>
      <c r="D25" s="2">
        <v>5</v>
      </c>
      <c r="E25" s="29">
        <f t="shared" ref="E25:E30" si="2">(B25+D25)/2</f>
        <v>5</v>
      </c>
      <c r="H25" s="214"/>
      <c r="I25" s="214" t="s">
        <v>268</v>
      </c>
      <c r="J25" s="3">
        <f>Численность!G24</f>
        <v>402</v>
      </c>
      <c r="K25" s="3">
        <f>ROUND(J25*$K$24/$J$24,0)</f>
        <v>73</v>
      </c>
      <c r="L25" s="718">
        <v>341</v>
      </c>
      <c r="M25" s="718">
        <v>281</v>
      </c>
      <c r="O25" s="231">
        <f>K25+K26+K27</f>
        <v>100</v>
      </c>
      <c r="P25" s="231">
        <f>L25+L26+L27</f>
        <v>453</v>
      </c>
      <c r="Q25" s="231">
        <f>M25+M26+M27</f>
        <v>356</v>
      </c>
    </row>
    <row r="26" spans="1:17" ht="15.75" customHeight="1">
      <c r="A26" s="28" t="s">
        <v>54</v>
      </c>
      <c r="B26" s="2">
        <v>13</v>
      </c>
      <c r="C26" s="2">
        <v>4</v>
      </c>
      <c r="D26" s="2">
        <v>11</v>
      </c>
      <c r="E26" s="29">
        <f t="shared" si="2"/>
        <v>12</v>
      </c>
      <c r="H26" s="214"/>
      <c r="I26" s="214" t="s">
        <v>269</v>
      </c>
      <c r="J26" s="3">
        <f>Численность!G25</f>
        <v>87</v>
      </c>
      <c r="K26" s="3">
        <f>ROUND(J26*$K$24/$J$24,0)</f>
        <v>16</v>
      </c>
      <c r="L26" s="718">
        <v>65</v>
      </c>
      <c r="M26" s="718">
        <v>44</v>
      </c>
    </row>
    <row r="27" spans="1:17" ht="15.75">
      <c r="A27" s="28" t="s">
        <v>55</v>
      </c>
      <c r="B27" s="2">
        <v>28</v>
      </c>
      <c r="C27" s="2">
        <v>27</v>
      </c>
      <c r="D27" s="2">
        <v>33</v>
      </c>
      <c r="E27" s="29">
        <f t="shared" si="2"/>
        <v>30.5</v>
      </c>
      <c r="H27" s="212"/>
      <c r="I27" s="214" t="s">
        <v>270</v>
      </c>
      <c r="J27" s="3">
        <f>Численность!G26</f>
        <v>62</v>
      </c>
      <c r="K27" s="3">
        <f>ROUND(J27*$K$24/$J$24,0)</f>
        <v>11</v>
      </c>
      <c r="L27" s="718">
        <v>47</v>
      </c>
      <c r="M27" s="718">
        <v>31</v>
      </c>
      <c r="O27" s="225"/>
      <c r="P27" s="225"/>
    </row>
    <row r="28" spans="1:17" ht="31.5">
      <c r="A28" s="28" t="s">
        <v>56</v>
      </c>
      <c r="B28" s="2">
        <v>18</v>
      </c>
      <c r="C28" s="2">
        <v>29</v>
      </c>
      <c r="D28" s="2">
        <v>11</v>
      </c>
      <c r="E28" s="29">
        <f t="shared" si="2"/>
        <v>14.5</v>
      </c>
      <c r="H28" s="212" t="s">
        <v>271</v>
      </c>
      <c r="I28" s="212" t="s">
        <v>271</v>
      </c>
      <c r="J28" s="714">
        <f>Численность!G27</f>
        <v>1680</v>
      </c>
      <c r="K28" s="717">
        <v>100</v>
      </c>
      <c r="L28" s="717">
        <f>SUM(L29:L33)</f>
        <v>1547</v>
      </c>
      <c r="M28" s="717">
        <f>SUM(M29:M33)</f>
        <v>1404</v>
      </c>
    </row>
    <row r="29" spans="1:17" ht="15.75">
      <c r="A29" s="28" t="s">
        <v>57</v>
      </c>
      <c r="B29" s="2">
        <f>B25-B26</f>
        <v>-8</v>
      </c>
      <c r="C29" s="2">
        <f>C25-C26</f>
        <v>2</v>
      </c>
      <c r="D29" s="2">
        <f>D25-D26</f>
        <v>-6</v>
      </c>
      <c r="E29" s="29">
        <f t="shared" si="2"/>
        <v>-7</v>
      </c>
      <c r="H29" s="214"/>
      <c r="I29" s="214" t="s">
        <v>272</v>
      </c>
      <c r="J29" s="3">
        <f>Численность!G28</f>
        <v>566</v>
      </c>
      <c r="K29" s="3">
        <f>ROUND(J29*$K$28/$J$28,0)</f>
        <v>34</v>
      </c>
      <c r="L29" s="718">
        <v>498</v>
      </c>
      <c r="M29" s="718">
        <v>425</v>
      </c>
      <c r="O29" s="225">
        <f>SUM(K29:K33)</f>
        <v>100</v>
      </c>
      <c r="P29" s="225">
        <f>SUM(L29:L33)</f>
        <v>1547</v>
      </c>
      <c r="Q29" s="225">
        <f>SUM(M29:M33)</f>
        <v>1404</v>
      </c>
    </row>
    <row r="30" spans="1:17" ht="15.75">
      <c r="A30" s="28" t="s">
        <v>58</v>
      </c>
      <c r="B30" s="2">
        <f>B27-B28</f>
        <v>10</v>
      </c>
      <c r="C30" s="2">
        <f>C27-C28</f>
        <v>-2</v>
      </c>
      <c r="D30" s="2">
        <f>D27-D28</f>
        <v>22</v>
      </c>
      <c r="E30" s="29">
        <f t="shared" si="2"/>
        <v>16</v>
      </c>
      <c r="H30" s="214"/>
      <c r="I30" s="214" t="s">
        <v>273</v>
      </c>
      <c r="J30" s="3">
        <f>Численность!G29</f>
        <v>147</v>
      </c>
      <c r="K30" s="3">
        <f>ROUND(J30*$K$28/$J$28,0)</f>
        <v>9</v>
      </c>
      <c r="L30" s="718">
        <v>109</v>
      </c>
      <c r="M30" s="718">
        <v>72</v>
      </c>
    </row>
    <row r="31" spans="1:17" ht="15.75">
      <c r="A31" s="226"/>
      <c r="B31" s="50">
        <f>B24+B29+B30</f>
        <v>509</v>
      </c>
      <c r="C31" s="50">
        <f>C24+C29+C30</f>
        <v>509</v>
      </c>
      <c r="D31" s="229">
        <f>D24+D29+D30</f>
        <v>525</v>
      </c>
      <c r="H31" s="214"/>
      <c r="I31" s="214" t="s">
        <v>274</v>
      </c>
      <c r="J31" s="3">
        <f>Численность!G30</f>
        <v>501</v>
      </c>
      <c r="K31" s="3">
        <f>ROUND(J31*$K$28/$J$28,0)</f>
        <v>30</v>
      </c>
      <c r="L31" s="718">
        <v>590</v>
      </c>
      <c r="M31" s="718">
        <v>675</v>
      </c>
      <c r="O31" s="225"/>
      <c r="P31" s="225"/>
    </row>
    <row r="32" spans="1:17" ht="15.75">
      <c r="A32" s="184" t="s">
        <v>257</v>
      </c>
      <c r="B32" s="50"/>
      <c r="C32" s="50"/>
      <c r="D32" s="50"/>
      <c r="H32" s="214"/>
      <c r="I32" s="214" t="s">
        <v>275</v>
      </c>
      <c r="J32" s="3">
        <f>Численность!G31</f>
        <v>382</v>
      </c>
      <c r="K32" s="3">
        <v>22</v>
      </c>
      <c r="L32" s="718">
        <v>286</v>
      </c>
      <c r="M32" s="718">
        <v>191</v>
      </c>
    </row>
    <row r="33" spans="1:17" ht="15.75">
      <c r="A33" s="2" t="s">
        <v>49</v>
      </c>
      <c r="B33" s="2">
        <v>2008</v>
      </c>
      <c r="C33" s="2">
        <v>2009</v>
      </c>
      <c r="D33" s="2">
        <v>2010</v>
      </c>
      <c r="E33" s="27" t="s">
        <v>50</v>
      </c>
      <c r="H33" s="212"/>
      <c r="I33" s="214" t="s">
        <v>276</v>
      </c>
      <c r="J33" s="3">
        <f>Численность!G32</f>
        <v>84</v>
      </c>
      <c r="K33" s="3">
        <f>ROUND(J33*$K$28/$J$28,0)</f>
        <v>5</v>
      </c>
      <c r="L33" s="718">
        <v>64</v>
      </c>
      <c r="M33" s="718">
        <v>41</v>
      </c>
    </row>
    <row r="34" spans="1:17" ht="31.5">
      <c r="A34" s="28" t="s">
        <v>51</v>
      </c>
      <c r="B34" s="3">
        <f>Численность!D13</f>
        <v>1246</v>
      </c>
      <c r="C34" s="3">
        <f>Численность!E13</f>
        <v>1249</v>
      </c>
      <c r="D34" s="3">
        <f>Численность!F13</f>
        <v>1106</v>
      </c>
      <c r="E34" s="3">
        <f>Численность!G13</f>
        <v>1107</v>
      </c>
      <c r="F34" s="30" t="s">
        <v>52</v>
      </c>
      <c r="H34" s="212" t="s">
        <v>277</v>
      </c>
      <c r="I34" s="212" t="s">
        <v>277</v>
      </c>
      <c r="J34" s="714">
        <f>Численность!G33</f>
        <v>933</v>
      </c>
      <c r="K34" s="714">
        <v>100</v>
      </c>
      <c r="L34" s="714">
        <f>SUM(L35:L39)</f>
        <v>704</v>
      </c>
      <c r="M34" s="714">
        <f>SUM(M35:M39)</f>
        <v>524</v>
      </c>
    </row>
    <row r="35" spans="1:17" ht="15.75">
      <c r="A35" s="28" t="s">
        <v>53</v>
      </c>
      <c r="B35" s="2">
        <v>12</v>
      </c>
      <c r="C35" s="2">
        <v>15</v>
      </c>
      <c r="D35" s="2">
        <v>10</v>
      </c>
      <c r="E35" s="29">
        <f t="shared" ref="E35:E40" si="3">(B35+C35+D35)/3</f>
        <v>12.333333333333334</v>
      </c>
      <c r="H35" s="214"/>
      <c r="I35" s="214" t="s">
        <v>278</v>
      </c>
      <c r="J35" s="3">
        <f>Численность!G34</f>
        <v>492</v>
      </c>
      <c r="K35" s="3">
        <v>54</v>
      </c>
      <c r="L35" s="718">
        <v>418</v>
      </c>
      <c r="M35" s="718">
        <v>355</v>
      </c>
      <c r="O35" s="225">
        <f>SUM(K35:K39)</f>
        <v>100</v>
      </c>
      <c r="P35" s="225">
        <f>SUM(L35:L39)</f>
        <v>704</v>
      </c>
      <c r="Q35" s="225">
        <f>SUM(M35:M39)</f>
        <v>524</v>
      </c>
    </row>
    <row r="36" spans="1:17" ht="15.75">
      <c r="A36" s="28" t="s">
        <v>54</v>
      </c>
      <c r="B36" s="2">
        <v>31</v>
      </c>
      <c r="C36" s="2">
        <v>27</v>
      </c>
      <c r="D36" s="2">
        <v>28</v>
      </c>
      <c r="E36" s="29">
        <f t="shared" si="3"/>
        <v>28.666666666666668</v>
      </c>
      <c r="H36" s="214"/>
      <c r="I36" s="214" t="s">
        <v>279</v>
      </c>
      <c r="J36" s="3">
        <f>Численность!G35</f>
        <v>134</v>
      </c>
      <c r="K36" s="3">
        <f>ROUND(J36*$K$34/$J$34,0)</f>
        <v>14</v>
      </c>
      <c r="L36" s="718">
        <v>84</v>
      </c>
      <c r="M36" s="718">
        <v>34</v>
      </c>
    </row>
    <row r="37" spans="1:17" ht="15.75">
      <c r="A37" s="28" t="s">
        <v>55</v>
      </c>
      <c r="B37" s="2">
        <v>173</v>
      </c>
      <c r="C37" s="2">
        <v>62</v>
      </c>
      <c r="D37" s="2">
        <v>88</v>
      </c>
      <c r="E37" s="29">
        <f t="shared" si="3"/>
        <v>107.66666666666667</v>
      </c>
      <c r="H37" s="214"/>
      <c r="I37" s="214" t="s">
        <v>280</v>
      </c>
      <c r="J37" s="3">
        <f>Численность!G36</f>
        <v>134</v>
      </c>
      <c r="K37" s="3">
        <f>ROUND(J37*$K$34/$J$34,0)</f>
        <v>14</v>
      </c>
      <c r="L37" s="718">
        <v>67</v>
      </c>
      <c r="M37" s="718">
        <v>45</v>
      </c>
    </row>
    <row r="38" spans="1:17" ht="15.75">
      <c r="A38" s="28" t="s">
        <v>56</v>
      </c>
      <c r="B38" s="2">
        <v>151</v>
      </c>
      <c r="C38" s="2">
        <v>193</v>
      </c>
      <c r="D38" s="2">
        <v>69</v>
      </c>
      <c r="E38" s="29">
        <f t="shared" si="3"/>
        <v>137.66666666666666</v>
      </c>
      <c r="H38" s="214"/>
      <c r="I38" s="214" t="s">
        <v>281</v>
      </c>
      <c r="J38" s="3">
        <f>Численность!G37</f>
        <v>21</v>
      </c>
      <c r="K38" s="3">
        <f>ROUND(J38*$K$34/$J$34,0)</f>
        <v>2</v>
      </c>
      <c r="L38" s="718">
        <v>15</v>
      </c>
      <c r="M38" s="718">
        <v>0</v>
      </c>
    </row>
    <row r="39" spans="1:17" ht="15.75">
      <c r="A39" s="28" t="s">
        <v>57</v>
      </c>
      <c r="B39" s="2">
        <f>B35-B36</f>
        <v>-19</v>
      </c>
      <c r="C39" s="2">
        <f>C35-C36</f>
        <v>-12</v>
      </c>
      <c r="D39" s="2">
        <f>D35-D36</f>
        <v>-18</v>
      </c>
      <c r="E39" s="29">
        <f t="shared" si="3"/>
        <v>-16.333333333333332</v>
      </c>
      <c r="H39" s="212"/>
      <c r="I39" s="214" t="s">
        <v>282</v>
      </c>
      <c r="J39" s="3">
        <f>Численность!G38</f>
        <v>152</v>
      </c>
      <c r="K39" s="3">
        <f>ROUND(J39*$K$34/$J$34,0)</f>
        <v>16</v>
      </c>
      <c r="L39" s="718">
        <v>120</v>
      </c>
      <c r="M39" s="718">
        <v>90</v>
      </c>
    </row>
    <row r="40" spans="1:17" ht="31.5">
      <c r="A40" s="28" t="s">
        <v>58</v>
      </c>
      <c r="B40" s="2">
        <f>B37-B38</f>
        <v>22</v>
      </c>
      <c r="C40" s="2">
        <f>C37-C38</f>
        <v>-131</v>
      </c>
      <c r="D40" s="2">
        <f>D37-D38</f>
        <v>19</v>
      </c>
      <c r="E40" s="29">
        <f t="shared" si="3"/>
        <v>-30</v>
      </c>
      <c r="H40" s="212" t="s">
        <v>283</v>
      </c>
      <c r="I40" s="212" t="s">
        <v>283</v>
      </c>
      <c r="J40" s="714">
        <f>Численность!G39</f>
        <v>1044</v>
      </c>
      <c r="K40" s="714">
        <v>100</v>
      </c>
      <c r="L40" s="714">
        <f>SUM(L41:L44)</f>
        <v>884</v>
      </c>
      <c r="M40" s="714">
        <f>SUM(M41:M44)</f>
        <v>723</v>
      </c>
    </row>
    <row r="41" spans="1:17" ht="15.75">
      <c r="A41" s="226"/>
      <c r="B41" s="50">
        <f>B34+B39+B40</f>
        <v>1249</v>
      </c>
      <c r="C41" s="50">
        <f>C34+C39+C40</f>
        <v>1106</v>
      </c>
      <c r="D41" s="50">
        <f>D34+D39+D40</f>
        <v>1107</v>
      </c>
      <c r="H41" s="214"/>
      <c r="I41" s="214" t="s">
        <v>284</v>
      </c>
      <c r="J41" s="3">
        <f>Численность!G40</f>
        <v>678</v>
      </c>
      <c r="K41" s="3">
        <f>ROUND(J41*$K$40/$J$40,0)</f>
        <v>65</v>
      </c>
      <c r="L41" s="718">
        <v>576</v>
      </c>
      <c r="M41" s="718">
        <v>475</v>
      </c>
      <c r="N41" s="231"/>
      <c r="O41" s="225">
        <f>SUM(K41:K44)</f>
        <v>100</v>
      </c>
      <c r="P41" s="225">
        <f>SUM(L41:L44)</f>
        <v>884</v>
      </c>
      <c r="Q41" s="225">
        <f>SUM(M41:M44)</f>
        <v>723</v>
      </c>
    </row>
    <row r="42" spans="1:17" ht="31.5">
      <c r="A42" s="184" t="s">
        <v>261</v>
      </c>
      <c r="B42" s="50"/>
      <c r="C42" s="50"/>
      <c r="D42" s="50"/>
      <c r="H42" s="214"/>
      <c r="I42" s="214" t="s">
        <v>285</v>
      </c>
      <c r="J42" s="3">
        <f>Численность!G41</f>
        <v>291</v>
      </c>
      <c r="K42" s="3">
        <f>ROUND(J42*$K$40/$J$40,0)</f>
        <v>28</v>
      </c>
      <c r="L42" s="718">
        <v>247</v>
      </c>
      <c r="M42" s="718">
        <v>204</v>
      </c>
    </row>
    <row r="43" spans="1:17" ht="15.75">
      <c r="A43" s="2" t="s">
        <v>49</v>
      </c>
      <c r="B43" s="2">
        <v>2008</v>
      </c>
      <c r="C43" s="2">
        <v>2009</v>
      </c>
      <c r="D43" s="2">
        <v>2010</v>
      </c>
      <c r="E43" s="27" t="s">
        <v>50</v>
      </c>
      <c r="H43" s="214"/>
      <c r="I43" s="214" t="s">
        <v>286</v>
      </c>
      <c r="J43" s="3">
        <f>Численность!G42</f>
        <v>73</v>
      </c>
      <c r="K43" s="3">
        <f>ROUND(J43*$K$40/$J$40,0)</f>
        <v>7</v>
      </c>
      <c r="L43" s="718">
        <v>61</v>
      </c>
      <c r="M43" s="718">
        <v>44</v>
      </c>
    </row>
    <row r="44" spans="1:17" ht="19.5" customHeight="1">
      <c r="A44" s="28" t="s">
        <v>51</v>
      </c>
      <c r="B44" s="3">
        <f>Численность!D17</f>
        <v>789</v>
      </c>
      <c r="C44" s="3">
        <f>Численность!E17</f>
        <v>790</v>
      </c>
      <c r="D44" s="3">
        <f>Численность!F17</f>
        <v>777</v>
      </c>
      <c r="E44" s="3">
        <f>Численность!G17</f>
        <v>782</v>
      </c>
      <c r="F44" s="30" t="s">
        <v>52</v>
      </c>
      <c r="H44" s="214"/>
      <c r="I44" s="214" t="s">
        <v>287</v>
      </c>
      <c r="J44" s="3">
        <f>Численность!G43</f>
        <v>2</v>
      </c>
      <c r="K44" s="3">
        <f>ROUND(J44*$K$40/$J$40,0)</f>
        <v>0</v>
      </c>
      <c r="L44" s="718">
        <v>0</v>
      </c>
      <c r="M44" s="718">
        <v>0</v>
      </c>
    </row>
    <row r="45" spans="1:17" ht="15.75">
      <c r="A45" s="28" t="s">
        <v>53</v>
      </c>
      <c r="B45" s="2">
        <v>5</v>
      </c>
      <c r="C45" s="2">
        <v>7</v>
      </c>
      <c r="D45" s="2">
        <v>7</v>
      </c>
      <c r="E45" s="29">
        <f t="shared" ref="E45:E50" si="4">(B45+C45+D45)/3</f>
        <v>6.333333333333333</v>
      </c>
      <c r="H45" s="212" t="s">
        <v>288</v>
      </c>
      <c r="I45" s="212" t="s">
        <v>288</v>
      </c>
      <c r="J45" s="714">
        <f>Численность!G44</f>
        <v>1050</v>
      </c>
      <c r="K45" s="717">
        <v>100</v>
      </c>
      <c r="L45" s="717">
        <f>L46+L47+L48</f>
        <v>883</v>
      </c>
      <c r="M45" s="717">
        <f>M46+M47+M48</f>
        <v>716</v>
      </c>
    </row>
    <row r="46" spans="1:17" ht="15.75">
      <c r="A46" s="28" t="s">
        <v>54</v>
      </c>
      <c r="B46" s="2">
        <v>9</v>
      </c>
      <c r="C46" s="2">
        <v>18</v>
      </c>
      <c r="D46" s="2">
        <v>11</v>
      </c>
      <c r="E46" s="29">
        <f t="shared" si="4"/>
        <v>12.666666666666666</v>
      </c>
      <c r="H46" s="214"/>
      <c r="I46" s="214" t="s">
        <v>289</v>
      </c>
      <c r="J46" s="3">
        <f>Численность!G45</f>
        <v>808</v>
      </c>
      <c r="K46" s="3">
        <f>ROUND(J46*$K$45/$J$45,0)</f>
        <v>77</v>
      </c>
      <c r="L46" s="718">
        <v>687</v>
      </c>
      <c r="M46" s="718">
        <v>566</v>
      </c>
    </row>
    <row r="47" spans="1:17" ht="15.75">
      <c r="A47" s="28" t="s">
        <v>55</v>
      </c>
      <c r="B47" s="2">
        <v>28</v>
      </c>
      <c r="C47" s="2">
        <v>21</v>
      </c>
      <c r="D47" s="2">
        <v>44</v>
      </c>
      <c r="E47" s="29">
        <f t="shared" si="4"/>
        <v>31</v>
      </c>
      <c r="H47" s="214"/>
      <c r="I47" s="214" t="s">
        <v>290</v>
      </c>
      <c r="J47" s="3">
        <f>Численность!G46</f>
        <v>59</v>
      </c>
      <c r="K47" s="3">
        <f>ROUND(J47*$K$45/$J$45,0)</f>
        <v>6</v>
      </c>
      <c r="L47" s="718">
        <v>50</v>
      </c>
      <c r="M47" s="718">
        <v>41</v>
      </c>
      <c r="O47" s="225">
        <f>K46+K47+K48</f>
        <v>100</v>
      </c>
      <c r="P47" s="225">
        <f>L46+L47+L48</f>
        <v>883</v>
      </c>
      <c r="Q47" s="225">
        <f>M46+M47+M48</f>
        <v>716</v>
      </c>
    </row>
    <row r="48" spans="1:17" ht="15.75">
      <c r="A48" s="28" t="s">
        <v>56</v>
      </c>
      <c r="B48" s="2">
        <v>23</v>
      </c>
      <c r="C48" s="2">
        <v>23</v>
      </c>
      <c r="D48" s="2">
        <v>35</v>
      </c>
      <c r="E48" s="29">
        <f t="shared" si="4"/>
        <v>27</v>
      </c>
      <c r="H48" s="212"/>
      <c r="I48" s="214" t="s">
        <v>291</v>
      </c>
      <c r="J48" s="3">
        <f>Численность!G47</f>
        <v>183</v>
      </c>
      <c r="K48" s="3">
        <f>ROUND(J48*$K$45/$J$45,0)</f>
        <v>17</v>
      </c>
      <c r="L48" s="718">
        <v>146</v>
      </c>
      <c r="M48" s="718">
        <v>109</v>
      </c>
    </row>
    <row r="49" spans="1:20" ht="31.5">
      <c r="A49" s="28" t="s">
        <v>57</v>
      </c>
      <c r="B49" s="2">
        <f>B45-B46</f>
        <v>-4</v>
      </c>
      <c r="C49" s="2">
        <f>C45-C46</f>
        <v>-11</v>
      </c>
      <c r="D49" s="2">
        <f>D45-D46</f>
        <v>-4</v>
      </c>
      <c r="E49" s="29">
        <f t="shared" si="4"/>
        <v>-6.333333333333333</v>
      </c>
      <c r="H49" s="212" t="s">
        <v>292</v>
      </c>
      <c r="I49" s="212" t="s">
        <v>292</v>
      </c>
      <c r="J49" s="714">
        <f>Численность!G48</f>
        <v>1178</v>
      </c>
      <c r="K49" s="717">
        <v>100</v>
      </c>
      <c r="L49" s="717">
        <f>SUM(L50:L53)</f>
        <v>1089</v>
      </c>
      <c r="M49" s="717">
        <f>SUM(M50:M53)</f>
        <v>997</v>
      </c>
    </row>
    <row r="50" spans="1:20" ht="15.75">
      <c r="A50" s="28" t="s">
        <v>58</v>
      </c>
      <c r="B50" s="2">
        <f>B47-B48</f>
        <v>5</v>
      </c>
      <c r="C50" s="2">
        <f>C47-C48</f>
        <v>-2</v>
      </c>
      <c r="D50" s="2">
        <f>D47-D48</f>
        <v>9</v>
      </c>
      <c r="E50" s="29">
        <f t="shared" si="4"/>
        <v>4</v>
      </c>
      <c r="H50" s="214"/>
      <c r="I50" s="214" t="s">
        <v>293</v>
      </c>
      <c r="J50" s="3">
        <f>Численность!G49</f>
        <v>526</v>
      </c>
      <c r="K50" s="3">
        <v>42</v>
      </c>
      <c r="L50" s="718">
        <v>570</v>
      </c>
      <c r="M50" s="718">
        <v>610</v>
      </c>
    </row>
    <row r="51" spans="1:20" ht="31.5">
      <c r="A51" s="226"/>
      <c r="B51" s="229">
        <f>B44+B49+B50</f>
        <v>790</v>
      </c>
      <c r="C51" s="229">
        <f>C44+C49+C50</f>
        <v>777</v>
      </c>
      <c r="D51" s="229">
        <f>D44+D49+D50</f>
        <v>782</v>
      </c>
      <c r="H51" s="214"/>
      <c r="I51" s="214" t="s">
        <v>294</v>
      </c>
      <c r="J51" s="3">
        <f>Численность!G50</f>
        <v>44</v>
      </c>
      <c r="K51" s="3">
        <f>ROUND(J51*$K$49/$J$49,0)</f>
        <v>4</v>
      </c>
      <c r="L51" s="718">
        <v>34</v>
      </c>
      <c r="M51" s="718">
        <v>23</v>
      </c>
      <c r="O51" s="225">
        <f>SUM(K50:K53)</f>
        <v>98</v>
      </c>
      <c r="P51" s="225">
        <f>SUM(L50:L53)</f>
        <v>1089</v>
      </c>
      <c r="Q51" s="225">
        <f>SUM(M50:M53)</f>
        <v>997</v>
      </c>
    </row>
    <row r="52" spans="1:20" ht="17.25" customHeight="1">
      <c r="A52" s="184" t="s">
        <v>264</v>
      </c>
      <c r="B52" s="50"/>
      <c r="C52" s="50"/>
      <c r="D52" s="50"/>
      <c r="H52" s="214"/>
      <c r="I52" s="214" t="s">
        <v>295</v>
      </c>
      <c r="J52" s="3">
        <f>Численность!G51</f>
        <v>331</v>
      </c>
      <c r="K52" s="3">
        <f>ROUND(J52*$K$49/$J$49,0)</f>
        <v>28</v>
      </c>
      <c r="L52" s="718">
        <v>264</v>
      </c>
      <c r="M52" s="718">
        <v>198</v>
      </c>
    </row>
    <row r="53" spans="1:20" ht="15.75">
      <c r="A53" s="2" t="s">
        <v>49</v>
      </c>
      <c r="B53" s="2">
        <v>2008</v>
      </c>
      <c r="C53" s="2">
        <v>2009</v>
      </c>
      <c r="D53" s="2">
        <v>2010</v>
      </c>
      <c r="E53" s="27" t="s">
        <v>50</v>
      </c>
      <c r="H53" s="209"/>
      <c r="I53" s="214" t="s">
        <v>296</v>
      </c>
      <c r="J53" s="3">
        <f>Численность!G52</f>
        <v>277</v>
      </c>
      <c r="K53" s="3">
        <f>ROUND(J53*$K$49/$J$49,0)</f>
        <v>24</v>
      </c>
      <c r="L53" s="718">
        <v>221</v>
      </c>
      <c r="M53" s="718">
        <v>166</v>
      </c>
    </row>
    <row r="54" spans="1:20" ht="20.25" customHeight="1">
      <c r="A54" s="28" t="s">
        <v>62</v>
      </c>
      <c r="B54" s="487">
        <f>Численность!D20</f>
        <v>437</v>
      </c>
      <c r="C54" s="3">
        <f>Численность!E20</f>
        <v>456</v>
      </c>
      <c r="D54" s="3">
        <f>Численность!F20</f>
        <v>473</v>
      </c>
      <c r="E54" s="3">
        <f>Численность!G20</f>
        <v>480</v>
      </c>
      <c r="F54" s="30" t="s">
        <v>52</v>
      </c>
      <c r="H54" s="1129" t="s">
        <v>227</v>
      </c>
      <c r="I54" s="1129" t="s">
        <v>227</v>
      </c>
      <c r="J54" s="714">
        <f>Численность!G53</f>
        <v>18951</v>
      </c>
      <c r="K54" s="717"/>
      <c r="L54" s="717">
        <f>L4+L6+L11+L14+L18+L21+L24+L28+L34+L40+L45+L49</f>
        <v>16515.333333333332</v>
      </c>
      <c r="M54" s="717">
        <f>M4+M6+M11+M14+M18+M21+M24+M28+M34+M40+M45+M49</f>
        <v>14100.666666666668</v>
      </c>
    </row>
    <row r="55" spans="1:20" ht="12.75" customHeight="1">
      <c r="A55" s="28" t="s">
        <v>53</v>
      </c>
      <c r="B55" s="2">
        <v>10</v>
      </c>
      <c r="C55" s="2">
        <v>4</v>
      </c>
      <c r="D55" s="2">
        <v>4</v>
      </c>
      <c r="E55" s="29">
        <f t="shared" ref="E55:E60" si="5">(B55+C55+D55)/3</f>
        <v>6</v>
      </c>
      <c r="P55" s="225">
        <f>P4+P7+P12+P15+P19+P22+P25+P29+P35+P41+P47+P51</f>
        <v>16515.333333333332</v>
      </c>
      <c r="Q55" s="225">
        <f>Q4+Q7+Q12+Q15+Q19+Q22+Q25+Q29+Q35+Q41+Q47+Q51</f>
        <v>14100.666666666668</v>
      </c>
    </row>
    <row r="56" spans="1:20" ht="61.5" customHeight="1">
      <c r="A56" s="28" t="s">
        <v>54</v>
      </c>
      <c r="B56" s="2">
        <v>14</v>
      </c>
      <c r="C56" s="2">
        <v>5</v>
      </c>
      <c r="D56" s="2">
        <v>6</v>
      </c>
      <c r="E56" s="29">
        <f t="shared" si="5"/>
        <v>8.3333333333333339</v>
      </c>
      <c r="H56" s="1170" t="s">
        <v>510</v>
      </c>
      <c r="I56" s="1171"/>
      <c r="J56" s="1171"/>
      <c r="K56" s="1171"/>
      <c r="L56" s="1171"/>
      <c r="M56" s="1171"/>
      <c r="N56" s="1171"/>
      <c r="T56" s="715">
        <v>14385</v>
      </c>
    </row>
    <row r="57" spans="1:20" ht="15.75">
      <c r="A57" s="28" t="s">
        <v>55</v>
      </c>
      <c r="B57" s="2">
        <v>39</v>
      </c>
      <c r="C57" s="2">
        <v>34</v>
      </c>
      <c r="D57" s="2">
        <v>24</v>
      </c>
      <c r="E57" s="29">
        <f t="shared" si="5"/>
        <v>32.333333333333336</v>
      </c>
    </row>
    <row r="58" spans="1:20" ht="15.75">
      <c r="A58" s="28" t="s">
        <v>56</v>
      </c>
      <c r="B58" s="2">
        <v>16</v>
      </c>
      <c r="C58" s="2">
        <v>16</v>
      </c>
      <c r="D58" s="2">
        <v>15</v>
      </c>
      <c r="E58" s="29">
        <f t="shared" si="5"/>
        <v>15.666666666666666</v>
      </c>
    </row>
    <row r="59" spans="1:20" ht="15.75">
      <c r="A59" s="28" t="s">
        <v>57</v>
      </c>
      <c r="B59" s="2">
        <f>B55-B56</f>
        <v>-4</v>
      </c>
      <c r="C59" s="2">
        <f>C55-C56</f>
        <v>-1</v>
      </c>
      <c r="D59" s="2">
        <f>D55-D56</f>
        <v>-2</v>
      </c>
      <c r="E59" s="29">
        <f t="shared" si="5"/>
        <v>-2.3333333333333335</v>
      </c>
      <c r="L59" s="225">
        <f>M54-14385</f>
        <v>-284.33333333333212</v>
      </c>
    </row>
    <row r="60" spans="1:20" ht="15.75">
      <c r="A60" s="28" t="s">
        <v>58</v>
      </c>
      <c r="B60" s="2">
        <f>B57-B58</f>
        <v>23</v>
      </c>
      <c r="C60" s="2">
        <f>C57-C58</f>
        <v>18</v>
      </c>
      <c r="D60" s="2">
        <f>D57-D58</f>
        <v>9</v>
      </c>
      <c r="E60" s="29">
        <f t="shared" si="5"/>
        <v>16.666666666666668</v>
      </c>
      <c r="S60" s="716"/>
    </row>
    <row r="61" spans="1:20" ht="15.75">
      <c r="A61" s="226"/>
      <c r="B61" s="50">
        <f>B54+B59+B60</f>
        <v>456</v>
      </c>
      <c r="C61" s="50">
        <f>C54+C59+C60</f>
        <v>473</v>
      </c>
      <c r="D61" s="50">
        <f>D54+D59+D60</f>
        <v>480</v>
      </c>
      <c r="E61" s="576" t="s">
        <v>508</v>
      </c>
    </row>
    <row r="62" spans="1:20" ht="31.5">
      <c r="A62" s="184" t="s">
        <v>267</v>
      </c>
      <c r="B62" s="50"/>
      <c r="C62" s="50"/>
      <c r="D62" s="50"/>
    </row>
    <row r="63" spans="1:20" ht="15.75">
      <c r="A63" s="2" t="s">
        <v>49</v>
      </c>
      <c r="B63" s="2">
        <v>2008</v>
      </c>
      <c r="C63" s="2">
        <v>2009</v>
      </c>
      <c r="D63" s="2">
        <v>2010</v>
      </c>
      <c r="E63" s="27" t="s">
        <v>50</v>
      </c>
    </row>
    <row r="64" spans="1:20" ht="30">
      <c r="A64" s="28" t="s">
        <v>62</v>
      </c>
      <c r="B64" s="487">
        <f>Численность!D23</f>
        <v>566</v>
      </c>
      <c r="C64" s="3">
        <f>Численность!E23</f>
        <v>551</v>
      </c>
      <c r="D64" s="3">
        <f>Численность!F23</f>
        <v>542</v>
      </c>
      <c r="E64" s="3">
        <f>Численность!G23</f>
        <v>551</v>
      </c>
      <c r="F64" s="30" t="s">
        <v>52</v>
      </c>
    </row>
    <row r="65" spans="1:7" ht="15.75">
      <c r="A65" s="28" t="s">
        <v>53</v>
      </c>
      <c r="B65" s="2">
        <v>6</v>
      </c>
      <c r="C65" s="2">
        <v>7</v>
      </c>
      <c r="D65" s="2">
        <v>11</v>
      </c>
      <c r="E65" s="29">
        <f t="shared" ref="E65:E70" si="6">(B65+C65+D65)/3</f>
        <v>8</v>
      </c>
    </row>
    <row r="66" spans="1:7" ht="15.75">
      <c r="A66" s="28" t="s">
        <v>54</v>
      </c>
      <c r="B66" s="2">
        <v>17</v>
      </c>
      <c r="C66" s="2">
        <v>9</v>
      </c>
      <c r="D66" s="2">
        <v>10</v>
      </c>
      <c r="E66" s="29">
        <f t="shared" si="6"/>
        <v>12</v>
      </c>
    </row>
    <row r="67" spans="1:7" ht="15.75">
      <c r="A67" s="28" t="s">
        <v>55</v>
      </c>
      <c r="B67" s="2">
        <v>10</v>
      </c>
      <c r="C67" s="2">
        <v>14</v>
      </c>
      <c r="D67" s="2">
        <v>22</v>
      </c>
      <c r="E67" s="29">
        <f t="shared" si="6"/>
        <v>15.333333333333334</v>
      </c>
    </row>
    <row r="68" spans="1:7" ht="15.75">
      <c r="A68" s="28" t="s">
        <v>56</v>
      </c>
      <c r="B68" s="2">
        <v>14</v>
      </c>
      <c r="C68" s="2">
        <v>21</v>
      </c>
      <c r="D68" s="2">
        <v>14</v>
      </c>
      <c r="E68" s="29">
        <f t="shared" si="6"/>
        <v>16.333333333333332</v>
      </c>
    </row>
    <row r="69" spans="1:7" ht="15.75">
      <c r="A69" s="28" t="s">
        <v>57</v>
      </c>
      <c r="B69" s="2">
        <f>B65-B66</f>
        <v>-11</v>
      </c>
      <c r="C69" s="2">
        <f>C65-C66</f>
        <v>-2</v>
      </c>
      <c r="D69" s="2">
        <f>D65-D66</f>
        <v>1</v>
      </c>
      <c r="E69" s="29">
        <f t="shared" si="6"/>
        <v>-4</v>
      </c>
    </row>
    <row r="70" spans="1:7" ht="15.75">
      <c r="A70" s="28" t="s">
        <v>58</v>
      </c>
      <c r="B70" s="2">
        <f>B67-B68</f>
        <v>-4</v>
      </c>
      <c r="C70" s="2">
        <f>C67-C68</f>
        <v>-7</v>
      </c>
      <c r="D70" s="2">
        <f>D67-D68</f>
        <v>8</v>
      </c>
      <c r="E70" s="29">
        <f t="shared" si="6"/>
        <v>-1</v>
      </c>
    </row>
    <row r="71" spans="1:7" ht="15.75">
      <c r="A71" s="226"/>
      <c r="B71" s="50">
        <f>B64+B69+B70</f>
        <v>551</v>
      </c>
      <c r="C71" s="50">
        <f>C64+C69+C70</f>
        <v>542</v>
      </c>
      <c r="D71" s="50">
        <f>D64+D69+D70</f>
        <v>551</v>
      </c>
    </row>
    <row r="72" spans="1:7" ht="15.75">
      <c r="A72" s="184" t="s">
        <v>271</v>
      </c>
      <c r="B72" s="50"/>
      <c r="C72" s="50"/>
      <c r="D72" s="50"/>
    </row>
    <row r="73" spans="1:7" ht="15.75">
      <c r="A73" s="2" t="s">
        <v>49</v>
      </c>
      <c r="B73" s="2">
        <v>2008</v>
      </c>
      <c r="C73" s="2">
        <v>2009</v>
      </c>
      <c r="D73" s="2">
        <v>2010</v>
      </c>
      <c r="E73" s="27" t="s">
        <v>50</v>
      </c>
    </row>
    <row r="74" spans="1:7" ht="30">
      <c r="A74" s="28" t="s">
        <v>62</v>
      </c>
      <c r="B74" s="487">
        <v>1784</v>
      </c>
      <c r="C74" s="3">
        <f>Численность!E27</f>
        <v>1722</v>
      </c>
      <c r="D74" s="3">
        <f>Численность!F27</f>
        <v>1662</v>
      </c>
      <c r="E74" s="3">
        <f>Численность!G27</f>
        <v>1680</v>
      </c>
      <c r="F74" s="30" t="s">
        <v>52</v>
      </c>
    </row>
    <row r="75" spans="1:7" ht="15.75">
      <c r="A75" s="28" t="s">
        <v>53</v>
      </c>
      <c r="B75" s="2">
        <v>16</v>
      </c>
      <c r="C75" s="2">
        <v>16</v>
      </c>
      <c r="D75" s="2">
        <v>19</v>
      </c>
      <c r="E75" s="29">
        <f t="shared" ref="E75:E80" si="7">(B75+D75)/2</f>
        <v>17.5</v>
      </c>
    </row>
    <row r="76" spans="1:7" ht="15.75">
      <c r="A76" s="28" t="s">
        <v>54</v>
      </c>
      <c r="B76" s="2">
        <v>30</v>
      </c>
      <c r="C76" s="2">
        <v>33</v>
      </c>
      <c r="D76" s="2">
        <v>14</v>
      </c>
      <c r="E76" s="29">
        <f t="shared" si="7"/>
        <v>22</v>
      </c>
    </row>
    <row r="77" spans="1:7" ht="15.75">
      <c r="A77" s="28" t="s">
        <v>55</v>
      </c>
      <c r="B77" s="2">
        <v>50</v>
      </c>
      <c r="C77" s="2">
        <v>78</v>
      </c>
      <c r="D77" s="2">
        <v>37</v>
      </c>
      <c r="E77" s="29">
        <f t="shared" si="7"/>
        <v>43.5</v>
      </c>
    </row>
    <row r="78" spans="1:7" ht="60">
      <c r="A78" s="28" t="s">
        <v>56</v>
      </c>
      <c r="B78" s="2">
        <v>98</v>
      </c>
      <c r="C78" s="2">
        <v>121</v>
      </c>
      <c r="D78" s="2">
        <v>24</v>
      </c>
      <c r="E78" s="29">
        <f t="shared" si="7"/>
        <v>61</v>
      </c>
      <c r="G78" s="30" t="s">
        <v>52</v>
      </c>
    </row>
    <row r="79" spans="1:7" ht="15.75">
      <c r="A79" s="28" t="s">
        <v>57</v>
      </c>
      <c r="B79" s="2">
        <f>B75-B76</f>
        <v>-14</v>
      </c>
      <c r="C79" s="2">
        <f>C75-C76</f>
        <v>-17</v>
      </c>
      <c r="D79" s="2">
        <f>D75-D76</f>
        <v>5</v>
      </c>
      <c r="E79" s="29">
        <f t="shared" si="7"/>
        <v>-4.5</v>
      </c>
    </row>
    <row r="80" spans="1:7" ht="15.75">
      <c r="A80" s="28" t="s">
        <v>58</v>
      </c>
      <c r="B80" s="2">
        <f>B77-B78</f>
        <v>-48</v>
      </c>
      <c r="C80" s="2">
        <f>C77-C78</f>
        <v>-43</v>
      </c>
      <c r="D80" s="2">
        <f>D77-D78</f>
        <v>13</v>
      </c>
      <c r="E80" s="29">
        <f t="shared" si="7"/>
        <v>-17.5</v>
      </c>
    </row>
    <row r="81" spans="1:6" ht="15.75">
      <c r="A81" s="226"/>
      <c r="B81" s="50">
        <f>B74+B79+B80</f>
        <v>1722</v>
      </c>
      <c r="C81" s="50">
        <f>C74+C79+C80</f>
        <v>1662</v>
      </c>
      <c r="D81" s="50">
        <f>D74+D79+D80</f>
        <v>1680</v>
      </c>
      <c r="E81" s="228"/>
    </row>
    <row r="84" spans="1:6" ht="31.5">
      <c r="A84" s="184" t="s">
        <v>277</v>
      </c>
      <c r="B84" s="50"/>
      <c r="C84" s="50"/>
      <c r="D84" s="50"/>
    </row>
    <row r="85" spans="1:6" ht="15.75">
      <c r="A85" s="2" t="s">
        <v>49</v>
      </c>
      <c r="B85" s="2">
        <v>2008</v>
      </c>
      <c r="C85" s="2">
        <v>2009</v>
      </c>
      <c r="D85" s="2">
        <v>2010</v>
      </c>
      <c r="E85" s="27" t="s">
        <v>50</v>
      </c>
    </row>
    <row r="86" spans="1:6" ht="30">
      <c r="A86" s="28" t="s">
        <v>62</v>
      </c>
      <c r="B86" s="3">
        <f>Численность!D33</f>
        <v>1006</v>
      </c>
      <c r="C86" s="3">
        <f>Численность!E33</f>
        <v>1025</v>
      </c>
      <c r="D86" s="3">
        <f>Численность!F33</f>
        <v>922</v>
      </c>
      <c r="E86" s="3">
        <f>Численность!G33</f>
        <v>933</v>
      </c>
      <c r="F86" s="30" t="s">
        <v>52</v>
      </c>
    </row>
    <row r="87" spans="1:6" ht="15.75">
      <c r="A87" s="28" t="s">
        <v>53</v>
      </c>
      <c r="B87" s="2">
        <v>13</v>
      </c>
      <c r="C87" s="2">
        <v>10</v>
      </c>
      <c r="D87" s="2">
        <v>4</v>
      </c>
      <c r="E87" s="29">
        <f t="shared" ref="E87:E92" si="8">(B87+D87)/2</f>
        <v>8.5</v>
      </c>
    </row>
    <row r="88" spans="1:6" ht="15.75">
      <c r="A88" s="28" t="s">
        <v>54</v>
      </c>
      <c r="B88" s="2">
        <v>26</v>
      </c>
      <c r="C88" s="2">
        <v>16</v>
      </c>
      <c r="D88" s="2">
        <v>17</v>
      </c>
      <c r="E88" s="29">
        <f t="shared" si="8"/>
        <v>21.5</v>
      </c>
    </row>
    <row r="89" spans="1:6" ht="15.75">
      <c r="A89" s="28" t="s">
        <v>55</v>
      </c>
      <c r="B89" s="2">
        <v>63</v>
      </c>
      <c r="C89" s="2">
        <v>38</v>
      </c>
      <c r="D89" s="2">
        <v>65</v>
      </c>
      <c r="E89" s="29">
        <f t="shared" si="8"/>
        <v>64</v>
      </c>
    </row>
    <row r="90" spans="1:6" ht="15.75">
      <c r="A90" s="28" t="s">
        <v>56</v>
      </c>
      <c r="B90" s="2">
        <v>31</v>
      </c>
      <c r="C90" s="2">
        <v>135</v>
      </c>
      <c r="D90" s="2">
        <v>41</v>
      </c>
      <c r="E90" s="29">
        <f t="shared" si="8"/>
        <v>36</v>
      </c>
    </row>
    <row r="91" spans="1:6" ht="15.75">
      <c r="A91" s="28" t="s">
        <v>57</v>
      </c>
      <c r="B91" s="2">
        <f>B87-B88</f>
        <v>-13</v>
      </c>
      <c r="C91" s="2">
        <f>C87-C88</f>
        <v>-6</v>
      </c>
      <c r="D91" s="2">
        <f>D87-D88</f>
        <v>-13</v>
      </c>
      <c r="E91" s="29">
        <f t="shared" si="8"/>
        <v>-13</v>
      </c>
    </row>
    <row r="92" spans="1:6" ht="15.75">
      <c r="A92" s="28" t="s">
        <v>58</v>
      </c>
      <c r="B92" s="2">
        <f>B89-B90</f>
        <v>32</v>
      </c>
      <c r="C92" s="2">
        <f>C89-C90</f>
        <v>-97</v>
      </c>
      <c r="D92" s="2">
        <f>D89-D90</f>
        <v>24</v>
      </c>
      <c r="E92" s="29">
        <f t="shared" si="8"/>
        <v>28</v>
      </c>
    </row>
    <row r="93" spans="1:6" ht="15.75">
      <c r="A93" s="226"/>
      <c r="B93" s="50">
        <f>B86+B91+B92</f>
        <v>1025</v>
      </c>
      <c r="C93" s="50">
        <f>C86+C91+C92</f>
        <v>922</v>
      </c>
      <c r="D93" s="50">
        <f>D86+D91+D92</f>
        <v>933</v>
      </c>
      <c r="E93" s="228"/>
    </row>
    <row r="96" spans="1:6" ht="15.75">
      <c r="A96" s="184" t="s">
        <v>283</v>
      </c>
      <c r="B96" s="50"/>
      <c r="C96" s="50"/>
      <c r="D96" s="50"/>
    </row>
    <row r="97" spans="1:6" ht="15.75">
      <c r="A97" s="2" t="s">
        <v>49</v>
      </c>
      <c r="B97" s="2">
        <v>2008</v>
      </c>
      <c r="C97" s="2">
        <v>2009</v>
      </c>
      <c r="D97" s="2">
        <v>2010</v>
      </c>
      <c r="E97" s="27" t="s">
        <v>50</v>
      </c>
    </row>
    <row r="98" spans="1:6" ht="30">
      <c r="A98" s="28" t="s">
        <v>62</v>
      </c>
      <c r="B98" s="3">
        <f>Численность!D39</f>
        <v>1013</v>
      </c>
      <c r="C98" s="3">
        <f>Численность!E39</f>
        <v>1041</v>
      </c>
      <c r="D98" s="3">
        <f>Численность!F39</f>
        <v>1030</v>
      </c>
      <c r="E98" s="3">
        <f>Численность!G39</f>
        <v>1044</v>
      </c>
      <c r="F98" s="30" t="s">
        <v>52</v>
      </c>
    </row>
    <row r="99" spans="1:6" ht="15.75">
      <c r="A99" s="28" t="s">
        <v>53</v>
      </c>
      <c r="B99" s="2">
        <v>15</v>
      </c>
      <c r="C99" s="2">
        <v>14</v>
      </c>
      <c r="D99" s="2">
        <v>21</v>
      </c>
      <c r="E99" s="29">
        <f t="shared" ref="E99:E104" si="9">(B99+D99)/2</f>
        <v>18</v>
      </c>
    </row>
    <row r="100" spans="1:6" ht="15.75">
      <c r="A100" s="28" t="s">
        <v>54</v>
      </c>
      <c r="B100" s="2">
        <v>26</v>
      </c>
      <c r="C100" s="2">
        <v>12</v>
      </c>
      <c r="D100" s="2">
        <v>22</v>
      </c>
      <c r="E100" s="29">
        <f t="shared" si="9"/>
        <v>24</v>
      </c>
    </row>
    <row r="101" spans="1:6" ht="15.75">
      <c r="A101" s="28" t="s">
        <v>55</v>
      </c>
      <c r="B101" s="2">
        <v>70</v>
      </c>
      <c r="C101" s="2">
        <v>3</v>
      </c>
      <c r="D101" s="2">
        <v>53</v>
      </c>
      <c r="E101" s="29">
        <f t="shared" si="9"/>
        <v>61.5</v>
      </c>
    </row>
    <row r="102" spans="1:6" ht="15.75">
      <c r="A102" s="28" t="s">
        <v>56</v>
      </c>
      <c r="B102" s="2">
        <v>31</v>
      </c>
      <c r="C102" s="2">
        <v>16</v>
      </c>
      <c r="D102" s="2">
        <v>38</v>
      </c>
      <c r="E102" s="29">
        <f t="shared" si="9"/>
        <v>34.5</v>
      </c>
    </row>
    <row r="103" spans="1:6" ht="15.75">
      <c r="A103" s="28" t="s">
        <v>57</v>
      </c>
      <c r="B103" s="2">
        <f>B99-B100</f>
        <v>-11</v>
      </c>
      <c r="C103" s="2">
        <f>C99-C100</f>
        <v>2</v>
      </c>
      <c r="D103" s="2">
        <f>D99-D100</f>
        <v>-1</v>
      </c>
      <c r="E103" s="29">
        <f t="shared" si="9"/>
        <v>-6</v>
      </c>
    </row>
    <row r="104" spans="1:6" ht="15.75">
      <c r="A104" s="28" t="s">
        <v>58</v>
      </c>
      <c r="B104" s="2">
        <f>B101-B102</f>
        <v>39</v>
      </c>
      <c r="C104" s="2">
        <f>C101-C102</f>
        <v>-13</v>
      </c>
      <c r="D104" s="2">
        <f>D101-D102</f>
        <v>15</v>
      </c>
      <c r="E104" s="29">
        <f t="shared" si="9"/>
        <v>27</v>
      </c>
    </row>
    <row r="105" spans="1:6" ht="15.75">
      <c r="A105" s="226"/>
      <c r="B105" s="50">
        <f>B98+B103+B104</f>
        <v>1041</v>
      </c>
      <c r="C105" s="50">
        <f>C98+C103+C104</f>
        <v>1030</v>
      </c>
      <c r="D105" s="50">
        <f>D98+D103+D104</f>
        <v>1044</v>
      </c>
      <c r="E105" s="228"/>
    </row>
    <row r="106" spans="1:6" ht="15.75">
      <c r="A106" s="226"/>
      <c r="B106" s="50"/>
      <c r="C106" s="50"/>
      <c r="D106" s="50"/>
      <c r="E106" s="228"/>
    </row>
    <row r="107" spans="1:6" ht="15.75">
      <c r="A107" s="226"/>
      <c r="B107" s="50"/>
      <c r="C107" s="50"/>
      <c r="D107" s="50"/>
      <c r="E107" s="228"/>
    </row>
    <row r="108" spans="1:6" ht="15.75">
      <c r="A108" s="184" t="s">
        <v>288</v>
      </c>
      <c r="B108" s="50"/>
      <c r="C108" s="50"/>
      <c r="D108" s="50"/>
      <c r="E108" s="228"/>
    </row>
    <row r="109" spans="1:6" ht="15.75">
      <c r="A109" s="2" t="s">
        <v>49</v>
      </c>
      <c r="B109" s="2">
        <v>2008</v>
      </c>
      <c r="C109" s="2">
        <v>2009</v>
      </c>
      <c r="D109" s="2">
        <v>2010</v>
      </c>
      <c r="E109" s="27" t="s">
        <v>50</v>
      </c>
    </row>
    <row r="110" spans="1:6" ht="30">
      <c r="A110" s="28" t="s">
        <v>62</v>
      </c>
      <c r="B110" s="3">
        <f>Численность!D44</f>
        <v>1075</v>
      </c>
      <c r="C110" s="3">
        <f>Численность!E44</f>
        <v>1076</v>
      </c>
      <c r="D110" s="3">
        <f>Численность!F44</f>
        <v>1060</v>
      </c>
      <c r="E110" s="3">
        <f>Численность!G44</f>
        <v>1050</v>
      </c>
      <c r="F110" s="30" t="s">
        <v>52</v>
      </c>
    </row>
    <row r="111" spans="1:6" ht="15.75">
      <c r="A111" s="28" t="s">
        <v>53</v>
      </c>
      <c r="B111" s="2">
        <v>10</v>
      </c>
      <c r="C111" s="2">
        <v>12</v>
      </c>
      <c r="D111" s="2">
        <v>15</v>
      </c>
      <c r="E111" s="29">
        <f t="shared" ref="E111:E116" si="10">(B111+D111)/2</f>
        <v>12.5</v>
      </c>
    </row>
    <row r="112" spans="1:6" ht="15.75">
      <c r="A112" s="28" t="s">
        <v>54</v>
      </c>
      <c r="B112" s="2">
        <v>16</v>
      </c>
      <c r="C112" s="2">
        <v>23</v>
      </c>
      <c r="D112" s="2">
        <v>20</v>
      </c>
      <c r="E112" s="29">
        <f t="shared" si="10"/>
        <v>18</v>
      </c>
    </row>
    <row r="113" spans="1:6" ht="15.75">
      <c r="A113" s="28" t="s">
        <v>55</v>
      </c>
      <c r="B113" s="2">
        <v>45</v>
      </c>
      <c r="C113" s="2">
        <v>38</v>
      </c>
      <c r="D113" s="2">
        <v>31</v>
      </c>
      <c r="E113" s="29">
        <f t="shared" si="10"/>
        <v>38</v>
      </c>
    </row>
    <row r="114" spans="1:6" ht="15.75">
      <c r="A114" s="28" t="s">
        <v>56</v>
      </c>
      <c r="B114" s="2">
        <v>38</v>
      </c>
      <c r="C114" s="2">
        <v>43</v>
      </c>
      <c r="D114" s="2">
        <v>36</v>
      </c>
      <c r="E114" s="29">
        <f t="shared" si="10"/>
        <v>37</v>
      </c>
    </row>
    <row r="115" spans="1:6" ht="15.75">
      <c r="A115" s="28" t="s">
        <v>57</v>
      </c>
      <c r="B115" s="2">
        <f>B111-B112</f>
        <v>-6</v>
      </c>
      <c r="C115" s="2">
        <f>C111-C112</f>
        <v>-11</v>
      </c>
      <c r="D115" s="2">
        <f>D111-D112</f>
        <v>-5</v>
      </c>
      <c r="E115" s="29">
        <f t="shared" si="10"/>
        <v>-5.5</v>
      </c>
    </row>
    <row r="116" spans="1:6" ht="15.75">
      <c r="A116" s="28" t="s">
        <v>58</v>
      </c>
      <c r="B116" s="2">
        <f>B113-B114</f>
        <v>7</v>
      </c>
      <c r="C116" s="2">
        <f>C113-C114</f>
        <v>-5</v>
      </c>
      <c r="D116" s="2">
        <f>D113-D114</f>
        <v>-5</v>
      </c>
      <c r="E116" s="29">
        <f t="shared" si="10"/>
        <v>1</v>
      </c>
    </row>
    <row r="117" spans="1:6" ht="15.75">
      <c r="A117" s="226"/>
      <c r="B117" s="50">
        <f>B110+B115+B116</f>
        <v>1076</v>
      </c>
      <c r="C117" s="50">
        <f>C110+C115+C116</f>
        <v>1060</v>
      </c>
      <c r="D117" s="50">
        <f>D110+D115+D116</f>
        <v>1050</v>
      </c>
      <c r="E117" s="228"/>
    </row>
    <row r="118" spans="1:6" ht="15.75">
      <c r="A118" s="226"/>
      <c r="B118" s="50"/>
      <c r="C118" s="50"/>
      <c r="D118" s="50"/>
      <c r="E118" s="228"/>
    </row>
    <row r="119" spans="1:6" ht="15.75">
      <c r="A119" s="226"/>
      <c r="B119" s="50"/>
      <c r="C119" s="50"/>
      <c r="D119" s="50"/>
      <c r="E119" s="228"/>
    </row>
    <row r="120" spans="1:6" ht="31.5">
      <c r="A120" s="184" t="s">
        <v>292</v>
      </c>
      <c r="B120" s="50"/>
      <c r="C120" s="50"/>
      <c r="D120" s="50"/>
      <c r="E120" s="228"/>
    </row>
    <row r="121" spans="1:6" ht="15.75">
      <c r="A121" s="2" t="s">
        <v>49</v>
      </c>
      <c r="B121" s="2">
        <v>2008</v>
      </c>
      <c r="C121" s="2">
        <v>2009</v>
      </c>
      <c r="D121" s="2">
        <v>2010</v>
      </c>
      <c r="E121" s="27" t="s">
        <v>50</v>
      </c>
    </row>
    <row r="122" spans="1:6" ht="30">
      <c r="A122" s="28" t="s">
        <v>62</v>
      </c>
      <c r="B122" s="487">
        <f>Численность!D48</f>
        <v>1154</v>
      </c>
      <c r="C122" s="3">
        <f>Численность!E48</f>
        <v>1169</v>
      </c>
      <c r="D122" s="3">
        <f>Численность!F48</f>
        <v>1184</v>
      </c>
      <c r="E122" s="3">
        <f>Численность!G48</f>
        <v>1178</v>
      </c>
      <c r="F122" s="30" t="s">
        <v>52</v>
      </c>
    </row>
    <row r="123" spans="1:6" ht="15.75">
      <c r="A123" s="28" t="s">
        <v>53</v>
      </c>
      <c r="B123" s="2">
        <v>8</v>
      </c>
      <c r="C123" s="2">
        <v>11</v>
      </c>
      <c r="D123" s="2">
        <v>5</v>
      </c>
      <c r="E123" s="29">
        <f t="shared" ref="E123:E128" si="11">(B123+D123)/2</f>
        <v>6.5</v>
      </c>
    </row>
    <row r="124" spans="1:6" ht="15.75">
      <c r="A124" s="28" t="s">
        <v>54</v>
      </c>
      <c r="B124" s="2">
        <v>16</v>
      </c>
      <c r="C124" s="2">
        <v>16</v>
      </c>
      <c r="D124" s="2">
        <v>14</v>
      </c>
      <c r="E124" s="29">
        <f t="shared" si="11"/>
        <v>15</v>
      </c>
    </row>
    <row r="125" spans="1:6" ht="15.75">
      <c r="A125" s="28" t="s">
        <v>55</v>
      </c>
      <c r="B125" s="2">
        <v>93</v>
      </c>
      <c r="C125" s="2">
        <v>65</v>
      </c>
      <c r="D125" s="2">
        <v>31</v>
      </c>
      <c r="E125" s="29">
        <f t="shared" si="11"/>
        <v>62</v>
      </c>
    </row>
    <row r="126" spans="1:6" ht="15.75">
      <c r="A126" s="28" t="s">
        <v>56</v>
      </c>
      <c r="B126" s="2">
        <v>70</v>
      </c>
      <c r="C126" s="2">
        <v>45</v>
      </c>
      <c r="D126" s="2">
        <v>29</v>
      </c>
      <c r="E126" s="29">
        <f t="shared" si="11"/>
        <v>49.5</v>
      </c>
    </row>
    <row r="127" spans="1:6" ht="15.75">
      <c r="A127" s="28" t="s">
        <v>57</v>
      </c>
      <c r="B127" s="2">
        <f>B123-B124</f>
        <v>-8</v>
      </c>
      <c r="C127" s="2">
        <f>C123-C124</f>
        <v>-5</v>
      </c>
      <c r="D127" s="2">
        <f>D123-D124</f>
        <v>-9</v>
      </c>
      <c r="E127" s="29">
        <f t="shared" si="11"/>
        <v>-8.5</v>
      </c>
    </row>
    <row r="128" spans="1:6" ht="15.75">
      <c r="A128" s="28" t="s">
        <v>58</v>
      </c>
      <c r="B128" s="2">
        <f>B125-B126</f>
        <v>23</v>
      </c>
      <c r="C128" s="2">
        <f>C125-C126</f>
        <v>20</v>
      </c>
      <c r="D128" s="2">
        <f>D125-D126</f>
        <v>2</v>
      </c>
      <c r="E128" s="29">
        <f t="shared" si="11"/>
        <v>12.5</v>
      </c>
    </row>
    <row r="129" spans="1:5" ht="15.75">
      <c r="A129" s="226"/>
      <c r="B129" s="50">
        <f>B122+B127+B128</f>
        <v>1169</v>
      </c>
      <c r="C129" s="50">
        <f>C122+C127+C128</f>
        <v>1184</v>
      </c>
      <c r="D129" s="50">
        <f>D122+D127+D128</f>
        <v>1177</v>
      </c>
      <c r="E129" s="228"/>
    </row>
    <row r="130" spans="1:5" ht="15.75">
      <c r="A130" s="226"/>
      <c r="B130" s="50"/>
      <c r="C130" s="50"/>
      <c r="D130" s="50"/>
      <c r="E130" s="228"/>
    </row>
    <row r="131" spans="1:5" ht="15.75">
      <c r="A131" s="120" t="s">
        <v>253</v>
      </c>
      <c r="B131" s="50"/>
      <c r="C131" s="50"/>
      <c r="D131" s="50"/>
    </row>
    <row r="132" spans="1:5" ht="15.75">
      <c r="A132" s="2" t="s">
        <v>49</v>
      </c>
      <c r="B132" s="2">
        <v>2008</v>
      </c>
      <c r="C132" s="2">
        <v>2009</v>
      </c>
      <c r="D132" s="2">
        <v>2010</v>
      </c>
      <c r="E132" s="27" t="s">
        <v>50</v>
      </c>
    </row>
    <row r="133" spans="1:5" ht="15.75">
      <c r="A133" s="28" t="s">
        <v>62</v>
      </c>
      <c r="B133" s="3">
        <f>B4+B14+B24+B34+B44+B54+B64+B74+B86+B98+B110+B122</f>
        <v>19485</v>
      </c>
      <c r="C133" s="3">
        <f>C4+C14+C24+C34+C44+C54+C64+C74+C86+C98+C110+C122</f>
        <v>19480</v>
      </c>
      <c r="D133" s="3">
        <f>D4+D14+D24+D34+D44+D54+D64+D74+D86+D98+D110+D122</f>
        <v>18947</v>
      </c>
      <c r="E133" s="3">
        <f>E4+E14+E24+E34+E44+E54+E64+E74+E86+E98+E110+E122</f>
        <v>18951</v>
      </c>
    </row>
    <row r="134" spans="1:5" ht="15.75">
      <c r="A134" s="28" t="s">
        <v>53</v>
      </c>
      <c r="B134" s="3">
        <f t="shared" ref="B134:D137" si="12">B5+B15+B25+B35+B45+B55+B65+B75+B87+B99+B111+B123</f>
        <v>204</v>
      </c>
      <c r="C134" s="3">
        <f t="shared" si="12"/>
        <v>204</v>
      </c>
      <c r="D134" s="3">
        <f t="shared" si="12"/>
        <v>202</v>
      </c>
      <c r="E134" s="29">
        <f t="shared" ref="E134:E139" si="13">(B134+D134)/2</f>
        <v>203</v>
      </c>
    </row>
    <row r="135" spans="1:5" ht="15.75">
      <c r="A135" s="28" t="s">
        <v>54</v>
      </c>
      <c r="B135" s="3">
        <f t="shared" si="12"/>
        <v>426</v>
      </c>
      <c r="C135" s="3">
        <f t="shared" si="12"/>
        <v>321</v>
      </c>
      <c r="D135" s="3">
        <f t="shared" si="12"/>
        <v>310</v>
      </c>
      <c r="E135" s="29">
        <f t="shared" si="13"/>
        <v>368</v>
      </c>
    </row>
    <row r="136" spans="1:5" ht="15.75">
      <c r="A136" s="28" t="s">
        <v>55</v>
      </c>
      <c r="B136" s="3">
        <f t="shared" si="12"/>
        <v>1400</v>
      </c>
      <c r="C136" s="3">
        <f t="shared" si="12"/>
        <v>1195</v>
      </c>
      <c r="D136" s="3">
        <f t="shared" si="12"/>
        <v>1078</v>
      </c>
      <c r="E136" s="29">
        <f t="shared" si="13"/>
        <v>1239</v>
      </c>
    </row>
    <row r="137" spans="1:5" ht="15.75">
      <c r="A137" s="28" t="s">
        <v>56</v>
      </c>
      <c r="B137" s="3">
        <f t="shared" si="12"/>
        <v>1183</v>
      </c>
      <c r="C137" s="3">
        <f t="shared" si="12"/>
        <v>1611</v>
      </c>
      <c r="D137" s="3">
        <f t="shared" si="12"/>
        <v>967</v>
      </c>
      <c r="E137" s="29">
        <f t="shared" si="13"/>
        <v>1075</v>
      </c>
    </row>
    <row r="138" spans="1:5" ht="15.75">
      <c r="A138" s="28" t="s">
        <v>57</v>
      </c>
      <c r="B138" s="2">
        <f>B134-B135</f>
        <v>-222</v>
      </c>
      <c r="C138" s="2">
        <f>C134-C135</f>
        <v>-117</v>
      </c>
      <c r="D138" s="2">
        <f>D134-D135</f>
        <v>-108</v>
      </c>
      <c r="E138" s="29">
        <f t="shared" si="13"/>
        <v>-165</v>
      </c>
    </row>
    <row r="139" spans="1:5" ht="15.75">
      <c r="A139" s="28" t="s">
        <v>58</v>
      </c>
      <c r="B139" s="2">
        <f>B136-B137</f>
        <v>217</v>
      </c>
      <c r="C139" s="2">
        <f>C136-C137</f>
        <v>-416</v>
      </c>
      <c r="D139" s="2">
        <f>D136-D137</f>
        <v>111</v>
      </c>
      <c r="E139" s="29">
        <f t="shared" si="13"/>
        <v>164</v>
      </c>
    </row>
    <row r="141" spans="1:5">
      <c r="B141" s="225">
        <f>B133+B138+B139</f>
        <v>19480</v>
      </c>
      <c r="C141" s="225">
        <f>C133+C138+C139</f>
        <v>18947</v>
      </c>
      <c r="D141" s="225">
        <f>D133+D138+D139</f>
        <v>18950</v>
      </c>
      <c r="E141" s="225"/>
    </row>
    <row r="143" spans="1:5">
      <c r="B143" s="576">
        <f>E133+(E138*10)+(E139*10)</f>
        <v>18941</v>
      </c>
    </row>
    <row r="144" spans="1:5">
      <c r="B144" s="576">
        <f>E133+(E138*20)+(E139*20)</f>
        <v>18931</v>
      </c>
    </row>
  </sheetData>
  <mergeCells count="1">
    <mergeCell ref="H56:N56"/>
  </mergeCells>
  <pageMargins left="0.70866141732283472" right="0.55118110236220474" top="0.23622047244094491" bottom="0.27559055118110237" header="0.23622047244094491" footer="0.27559055118110237"/>
  <pageSetup paperSize="9" scale="77" orientation="portrait" verticalDpi="0" r:id="rId1"/>
  <rowBreaks count="1" manualBreakCount="1">
    <brk id="56" max="1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P89"/>
  <sheetViews>
    <sheetView showWhiteSpace="0" view="pageBreakPreview" topLeftCell="C1" zoomScaleSheetLayoutView="100" workbookViewId="0">
      <selection activeCell="G5" sqref="G5"/>
    </sheetView>
  </sheetViews>
  <sheetFormatPr defaultRowHeight="15"/>
  <cols>
    <col min="1" max="1" width="6.85546875" style="815" customWidth="1"/>
    <col min="2" max="2" width="4.5703125" style="815" customWidth="1"/>
    <col min="3" max="3" width="33.42578125" style="815" customWidth="1"/>
    <col min="4" max="4" width="9.140625" style="815"/>
    <col min="5" max="5" width="13" style="815" customWidth="1"/>
    <col min="6" max="8" width="9.140625" style="815"/>
    <col min="9" max="9" width="11.42578125" style="815" bestFit="1" customWidth="1"/>
    <col min="10" max="10" width="9.140625" style="815"/>
    <col min="11" max="11" width="10.7109375" style="815" customWidth="1"/>
    <col min="12" max="13" width="11.5703125" style="815" bestFit="1" customWidth="1"/>
    <col min="14" max="14" width="9.140625" style="815"/>
    <col min="15" max="15" width="11.5703125" style="815" bestFit="1" customWidth="1"/>
    <col min="16" max="16384" width="9.140625" style="815"/>
  </cols>
  <sheetData>
    <row r="1" spans="1:13" ht="16.5">
      <c r="A1" s="1376" t="s">
        <v>126</v>
      </c>
      <c r="B1" s="865"/>
      <c r="C1" s="1375" t="s">
        <v>586</v>
      </c>
      <c r="D1" s="1374" t="s">
        <v>587</v>
      </c>
      <c r="E1" s="1374" t="s">
        <v>626</v>
      </c>
      <c r="F1" s="1374" t="s">
        <v>588</v>
      </c>
      <c r="G1" s="1374" t="s">
        <v>627</v>
      </c>
      <c r="H1" s="1375" t="s">
        <v>596</v>
      </c>
      <c r="I1" s="1375"/>
      <c r="J1" s="1375"/>
    </row>
    <row r="2" spans="1:13" ht="98.25">
      <c r="A2" s="1376"/>
      <c r="B2" s="865" t="s">
        <v>740</v>
      </c>
      <c r="C2" s="1375"/>
      <c r="D2" s="1374"/>
      <c r="E2" s="1374"/>
      <c r="F2" s="1374"/>
      <c r="G2" s="1374"/>
      <c r="H2" s="873" t="s">
        <v>589</v>
      </c>
      <c r="I2" s="873" t="s">
        <v>595</v>
      </c>
      <c r="J2" s="873" t="s">
        <v>597</v>
      </c>
    </row>
    <row r="3" spans="1:13" ht="16.5">
      <c r="A3" s="1008"/>
      <c r="B3" s="1007"/>
      <c r="C3" s="1030" t="s">
        <v>861</v>
      </c>
      <c r="D3" s="1006"/>
      <c r="E3" s="1006"/>
      <c r="F3" s="1006"/>
      <c r="G3" s="1006"/>
      <c r="H3" s="1006"/>
      <c r="I3" s="1006"/>
      <c r="J3" s="1006"/>
    </row>
    <row r="4" spans="1:13" ht="16.5">
      <c r="A4" s="1008"/>
      <c r="B4" s="1007"/>
      <c r="C4" s="814" t="s">
        <v>739</v>
      </c>
      <c r="D4" s="1007" t="s">
        <v>590</v>
      </c>
      <c r="E4" s="1007">
        <v>0</v>
      </c>
      <c r="F4" s="1031">
        <v>125000</v>
      </c>
      <c r="G4" s="1031">
        <v>125000</v>
      </c>
      <c r="H4" s="1368">
        <v>0</v>
      </c>
      <c r="I4" s="1368">
        <v>470</v>
      </c>
      <c r="J4" s="1372">
        <v>470</v>
      </c>
    </row>
    <row r="5" spans="1:13" ht="16.5">
      <c r="A5" s="1008"/>
      <c r="B5" s="1007"/>
      <c r="C5" s="814" t="s">
        <v>593</v>
      </c>
      <c r="D5" s="1007" t="s">
        <v>592</v>
      </c>
      <c r="E5" s="1007">
        <v>0</v>
      </c>
      <c r="F5" s="1031">
        <f>ROUND(25000*0.7,1)</f>
        <v>17500</v>
      </c>
      <c r="G5" s="1031">
        <f>ROUND(25000*0.8,1)</f>
        <v>20000</v>
      </c>
      <c r="H5" s="1370"/>
      <c r="I5" s="1370"/>
      <c r="J5" s="1373"/>
    </row>
    <row r="6" spans="1:13" s="817" customFormat="1" ht="16.5">
      <c r="A6" s="816">
        <v>1</v>
      </c>
      <c r="B6" s="862"/>
      <c r="C6" s="863" t="s">
        <v>547</v>
      </c>
      <c r="D6" s="862"/>
      <c r="E6" s="862"/>
      <c r="F6" s="862"/>
      <c r="G6" s="862"/>
      <c r="H6" s="862"/>
      <c r="I6" s="862"/>
      <c r="J6" s="862"/>
    </row>
    <row r="7" spans="1:13" s="864" customFormat="1" ht="31.5" customHeight="1">
      <c r="A7" s="862"/>
      <c r="B7" s="862">
        <v>1</v>
      </c>
      <c r="C7" s="863" t="s">
        <v>738</v>
      </c>
      <c r="D7" s="862"/>
      <c r="E7" s="862"/>
      <c r="F7" s="862"/>
      <c r="G7" s="862"/>
      <c r="H7" s="862"/>
      <c r="I7" s="862"/>
      <c r="J7" s="862"/>
    </row>
    <row r="8" spans="1:13" s="864" customFormat="1" ht="16.5">
      <c r="A8" s="862"/>
      <c r="B8" s="862"/>
      <c r="C8" s="814" t="s">
        <v>37</v>
      </c>
      <c r="D8" s="865" t="s">
        <v>590</v>
      </c>
      <c r="E8" s="865">
        <v>0</v>
      </c>
      <c r="F8" s="865">
        <v>250</v>
      </c>
      <c r="G8" s="865">
        <v>400</v>
      </c>
      <c r="H8" s="1368">
        <v>0</v>
      </c>
      <c r="I8" s="1368">
        <v>15</v>
      </c>
      <c r="J8" s="1372">
        <v>25</v>
      </c>
      <c r="L8" s="864">
        <f>F8*117/2080</f>
        <v>14.0625</v>
      </c>
      <c r="M8" s="864">
        <f>G8*117/2080</f>
        <v>22.5</v>
      </c>
    </row>
    <row r="9" spans="1:13" s="864" customFormat="1" ht="16.5">
      <c r="A9" s="862"/>
      <c r="B9" s="862"/>
      <c r="C9" s="814" t="s">
        <v>599</v>
      </c>
      <c r="D9" s="865" t="s">
        <v>590</v>
      </c>
      <c r="E9" s="865">
        <v>0</v>
      </c>
      <c r="F9" s="865">
        <v>150</v>
      </c>
      <c r="G9" s="865">
        <v>200</v>
      </c>
      <c r="H9" s="1369"/>
      <c r="I9" s="1369"/>
      <c r="J9" s="1377"/>
      <c r="M9" s="868">
        <f>G9*100/G8</f>
        <v>50</v>
      </c>
    </row>
    <row r="10" spans="1:13" s="864" customFormat="1" ht="16.5">
      <c r="A10" s="862"/>
      <c r="B10" s="862"/>
      <c r="C10" s="814" t="s">
        <v>593</v>
      </c>
      <c r="D10" s="865" t="s">
        <v>592</v>
      </c>
      <c r="E10" s="138">
        <v>0</v>
      </c>
      <c r="F10" s="865">
        <f>ROUND(F8*0.2*0.5*0.54,1)</f>
        <v>13.5</v>
      </c>
      <c r="G10" s="869">
        <f>ROUND(G8*0.2*0.5*0.6,1)</f>
        <v>24</v>
      </c>
      <c r="H10" s="1369"/>
      <c r="I10" s="1369"/>
      <c r="J10" s="1377"/>
      <c r="M10" s="864">
        <f>F9*100/F8</f>
        <v>60</v>
      </c>
    </row>
    <row r="11" spans="1:13" s="864" customFormat="1" ht="16.5">
      <c r="A11" s="862"/>
      <c r="B11" s="862"/>
      <c r="C11" s="814" t="s">
        <v>591</v>
      </c>
      <c r="D11" s="865" t="s">
        <v>592</v>
      </c>
      <c r="E11" s="138">
        <v>0</v>
      </c>
      <c r="F11" s="870">
        <f>F9*3.5</f>
        <v>525</v>
      </c>
      <c r="G11" s="870">
        <f>G9*4</f>
        <v>800</v>
      </c>
      <c r="H11" s="1370"/>
      <c r="I11" s="1370"/>
      <c r="J11" s="1373"/>
    </row>
    <row r="12" spans="1:13" s="864" customFormat="1" ht="16.5">
      <c r="A12" s="862"/>
      <c r="B12" s="862">
        <v>2</v>
      </c>
      <c r="C12" s="863" t="s">
        <v>741</v>
      </c>
      <c r="D12" s="865"/>
      <c r="E12" s="865"/>
      <c r="F12" s="865"/>
      <c r="G12" s="865"/>
      <c r="H12" s="866"/>
      <c r="I12" s="866"/>
      <c r="J12" s="867"/>
    </row>
    <row r="13" spans="1:13" s="864" customFormat="1" ht="16.5">
      <c r="A13" s="862"/>
      <c r="B13" s="862"/>
      <c r="C13" s="814" t="s">
        <v>739</v>
      </c>
      <c r="D13" s="865" t="s">
        <v>590</v>
      </c>
      <c r="E13" s="865">
        <v>0</v>
      </c>
      <c r="F13" s="865">
        <v>200</v>
      </c>
      <c r="G13" s="865">
        <v>500</v>
      </c>
      <c r="H13" s="1368">
        <v>0</v>
      </c>
      <c r="I13" s="1368">
        <v>7</v>
      </c>
      <c r="J13" s="1372">
        <v>15</v>
      </c>
      <c r="L13" s="868">
        <f>F13/I13</f>
        <v>28.571428571428573</v>
      </c>
      <c r="M13" s="868">
        <f>G13/J13</f>
        <v>33.333333333333336</v>
      </c>
    </row>
    <row r="14" spans="1:13" s="864" customFormat="1" ht="16.5">
      <c r="A14" s="862"/>
      <c r="B14" s="862"/>
      <c r="C14" s="814" t="s">
        <v>593</v>
      </c>
      <c r="D14" s="865" t="s">
        <v>592</v>
      </c>
      <c r="E14" s="865">
        <v>0</v>
      </c>
      <c r="F14" s="865">
        <f>ROUND(F13*0.3*0.25*0.7,1)</f>
        <v>10.5</v>
      </c>
      <c r="G14" s="869">
        <f>ROUND(G13*0.3*0.25*0.8,1)</f>
        <v>30</v>
      </c>
      <c r="H14" s="1370"/>
      <c r="I14" s="1370"/>
      <c r="J14" s="1373"/>
    </row>
    <row r="15" spans="1:13" ht="16.5">
      <c r="A15" s="809"/>
      <c r="B15" s="862">
        <v>3</v>
      </c>
      <c r="C15" s="863" t="s">
        <v>628</v>
      </c>
      <c r="D15" s="865"/>
      <c r="E15" s="865"/>
      <c r="F15" s="865"/>
      <c r="G15" s="865"/>
      <c r="H15" s="865"/>
      <c r="I15" s="865"/>
      <c r="J15" s="865"/>
    </row>
    <row r="16" spans="1:13" ht="16.5">
      <c r="A16" s="809"/>
      <c r="B16" s="865"/>
      <c r="C16" s="814" t="s">
        <v>37</v>
      </c>
      <c r="D16" s="865" t="s">
        <v>590</v>
      </c>
      <c r="E16" s="865">
        <v>124</v>
      </c>
      <c r="F16" s="865">
        <v>140</v>
      </c>
      <c r="G16" s="865">
        <v>160</v>
      </c>
      <c r="H16" s="1368">
        <v>30</v>
      </c>
      <c r="I16" s="1368">
        <v>32</v>
      </c>
      <c r="J16" s="1368">
        <v>35</v>
      </c>
    </row>
    <row r="17" spans="1:13" ht="16.5">
      <c r="A17" s="809"/>
      <c r="B17" s="865"/>
      <c r="C17" s="814" t="s">
        <v>599</v>
      </c>
      <c r="D17" s="865" t="s">
        <v>590</v>
      </c>
      <c r="E17" s="865">
        <v>31</v>
      </c>
      <c r="F17" s="865">
        <v>35</v>
      </c>
      <c r="G17" s="865">
        <f t="shared" ref="G17:G19" si="0">ROUND(E17*1.3,0)</f>
        <v>40</v>
      </c>
      <c r="H17" s="1369"/>
      <c r="I17" s="1369"/>
      <c r="J17" s="1369"/>
    </row>
    <row r="18" spans="1:13" ht="16.5">
      <c r="A18" s="809"/>
      <c r="B18" s="865"/>
      <c r="C18" s="814" t="s">
        <v>593</v>
      </c>
      <c r="D18" s="865" t="s">
        <v>592</v>
      </c>
      <c r="E18" s="865">
        <v>15</v>
      </c>
      <c r="F18" s="865">
        <f>ROUND(E18*1.15,0)</f>
        <v>17</v>
      </c>
      <c r="G18" s="865">
        <f t="shared" si="0"/>
        <v>20</v>
      </c>
      <c r="H18" s="1369"/>
      <c r="I18" s="1369"/>
      <c r="J18" s="1369"/>
    </row>
    <row r="19" spans="1:13" ht="16.5">
      <c r="A19" s="809"/>
      <c r="B19" s="865"/>
      <c r="C19" s="814" t="s">
        <v>591</v>
      </c>
      <c r="D19" s="865" t="s">
        <v>592</v>
      </c>
      <c r="E19" s="865">
        <v>81</v>
      </c>
      <c r="F19" s="865">
        <f t="shared" ref="F19" si="1">ROUND(E19*1.15,0)</f>
        <v>93</v>
      </c>
      <c r="G19" s="865">
        <f t="shared" si="0"/>
        <v>105</v>
      </c>
      <c r="H19" s="1370"/>
      <c r="I19" s="1370"/>
      <c r="J19" s="1370"/>
    </row>
    <row r="20" spans="1:13" ht="16.5">
      <c r="A20" s="809"/>
      <c r="B20" s="862">
        <v>4</v>
      </c>
      <c r="C20" s="863" t="s">
        <v>629</v>
      </c>
      <c r="D20" s="865"/>
      <c r="E20" s="865"/>
      <c r="F20" s="865"/>
      <c r="G20" s="865"/>
      <c r="H20" s="865"/>
      <c r="I20" s="865"/>
      <c r="J20" s="865"/>
    </row>
    <row r="21" spans="1:13" ht="16.5">
      <c r="A21" s="809"/>
      <c r="B21" s="865"/>
      <c r="C21" s="814" t="s">
        <v>37</v>
      </c>
      <c r="D21" s="865" t="s">
        <v>590</v>
      </c>
      <c r="E21" s="865">
        <v>64</v>
      </c>
      <c r="F21" s="870">
        <v>70</v>
      </c>
      <c r="G21" s="870">
        <v>100</v>
      </c>
      <c r="H21" s="1368">
        <v>16</v>
      </c>
      <c r="I21" s="1368">
        <v>16</v>
      </c>
      <c r="J21" s="1368">
        <v>20</v>
      </c>
    </row>
    <row r="22" spans="1:13" ht="16.5">
      <c r="A22" s="809"/>
      <c r="B22" s="865"/>
      <c r="C22" s="814" t="s">
        <v>599</v>
      </c>
      <c r="D22" s="865" t="s">
        <v>590</v>
      </c>
      <c r="E22" s="865">
        <v>32</v>
      </c>
      <c r="F22" s="870">
        <v>35</v>
      </c>
      <c r="G22" s="870">
        <v>50</v>
      </c>
      <c r="H22" s="1369"/>
      <c r="I22" s="1369"/>
      <c r="J22" s="1369"/>
    </row>
    <row r="23" spans="1:13" ht="17.25" customHeight="1">
      <c r="A23" s="809"/>
      <c r="B23" s="865"/>
      <c r="C23" s="814" t="s">
        <v>40</v>
      </c>
      <c r="D23" s="865" t="s">
        <v>590</v>
      </c>
      <c r="E23" s="865">
        <v>52</v>
      </c>
      <c r="F23" s="870">
        <f t="shared" ref="F23:F24" si="2">ROUND(E23*1.15,0)</f>
        <v>60</v>
      </c>
      <c r="G23" s="870">
        <v>70</v>
      </c>
      <c r="H23" s="1369"/>
      <c r="I23" s="1369"/>
      <c r="J23" s="1369"/>
      <c r="K23" s="815" t="s">
        <v>642</v>
      </c>
      <c r="L23" s="818">
        <f>ROUND(F21*0.2*0.5*0.54,1)</f>
        <v>3.8</v>
      </c>
      <c r="M23" s="820">
        <f>ROUND(G21*0.2*0.5*0.6,1)</f>
        <v>6</v>
      </c>
    </row>
    <row r="24" spans="1:13" ht="16.5" customHeight="1">
      <c r="A24" s="809"/>
      <c r="B24" s="865"/>
      <c r="C24" s="814" t="s">
        <v>41</v>
      </c>
      <c r="D24" s="865" t="s">
        <v>590</v>
      </c>
      <c r="E24" s="865">
        <v>3</v>
      </c>
      <c r="F24" s="870">
        <f t="shared" si="2"/>
        <v>3</v>
      </c>
      <c r="G24" s="870">
        <f t="shared" ref="G24" si="3">ROUND(E24*1.3,0)</f>
        <v>4</v>
      </c>
      <c r="H24" s="1369"/>
      <c r="I24" s="1369"/>
      <c r="J24" s="1369"/>
      <c r="K24" s="815" t="s">
        <v>643</v>
      </c>
      <c r="L24" s="821">
        <f>ROUND(F23*0.3*0.25*0.7,1)</f>
        <v>3.2</v>
      </c>
      <c r="M24" s="821">
        <f>ROUND(G23*0.3*0.25*0.8,1)</f>
        <v>4.2</v>
      </c>
    </row>
    <row r="25" spans="1:13" ht="15" customHeight="1">
      <c r="A25" s="809"/>
      <c r="B25" s="865"/>
      <c r="C25" s="814" t="s">
        <v>640</v>
      </c>
      <c r="D25" s="865" t="s">
        <v>592</v>
      </c>
      <c r="E25" s="865" t="s">
        <v>641</v>
      </c>
      <c r="F25" s="874">
        <f>L26</f>
        <v>7</v>
      </c>
      <c r="G25" s="874">
        <f>M26</f>
        <v>10.199999999999999</v>
      </c>
      <c r="H25" s="1369"/>
      <c r="I25" s="1369"/>
      <c r="J25" s="1369"/>
      <c r="K25" s="815" t="s">
        <v>644</v>
      </c>
      <c r="L25" s="824">
        <f>ROUND(F24*0.1*0.25,0)</f>
        <v>0</v>
      </c>
      <c r="M25" s="824">
        <f>ROUND(G24*0.1*0.3,0)</f>
        <v>0</v>
      </c>
    </row>
    <row r="26" spans="1:13" ht="16.5">
      <c r="A26" s="809"/>
      <c r="B26" s="865"/>
      <c r="C26" s="814" t="s">
        <v>601</v>
      </c>
      <c r="D26" s="865" t="s">
        <v>592</v>
      </c>
      <c r="E26" s="865" t="s">
        <v>641</v>
      </c>
      <c r="F26" s="869">
        <f>F22*3.5</f>
        <v>122.5</v>
      </c>
      <c r="G26" s="869">
        <f>G22*4</f>
        <v>200</v>
      </c>
      <c r="H26" s="1370"/>
      <c r="I26" s="1370"/>
      <c r="J26" s="1370"/>
      <c r="K26" s="815" t="s">
        <v>645</v>
      </c>
      <c r="L26" s="822">
        <f>L23+L24+L25</f>
        <v>7</v>
      </c>
      <c r="M26" s="822">
        <f>M23+M24+M25</f>
        <v>10.199999999999999</v>
      </c>
    </row>
    <row r="27" spans="1:13" ht="33">
      <c r="A27" s="809"/>
      <c r="B27" s="862">
        <v>5</v>
      </c>
      <c r="C27" s="871" t="s">
        <v>742</v>
      </c>
      <c r="D27" s="865"/>
      <c r="E27" s="865"/>
      <c r="F27" s="869"/>
      <c r="G27" s="869"/>
      <c r="H27" s="866"/>
      <c r="I27" s="866"/>
      <c r="J27" s="866"/>
      <c r="L27" s="872"/>
      <c r="M27" s="872"/>
    </row>
    <row r="28" spans="1:13" ht="16.5">
      <c r="A28" s="809"/>
      <c r="B28" s="865"/>
      <c r="C28" s="814" t="s">
        <v>37</v>
      </c>
      <c r="D28" s="865" t="s">
        <v>590</v>
      </c>
      <c r="E28" s="865">
        <v>0</v>
      </c>
      <c r="F28" s="870">
        <v>100</v>
      </c>
      <c r="G28" s="870">
        <v>200</v>
      </c>
      <c r="H28" s="1368">
        <v>0</v>
      </c>
      <c r="I28" s="1368">
        <v>10</v>
      </c>
      <c r="J28" s="1368">
        <v>15</v>
      </c>
      <c r="L28" s="872">
        <f>F28*117/2080</f>
        <v>5.625</v>
      </c>
      <c r="M28" s="872">
        <f>G28*117/2080</f>
        <v>11.25</v>
      </c>
    </row>
    <row r="29" spans="1:13" ht="16.5">
      <c r="A29" s="809"/>
      <c r="B29" s="865"/>
      <c r="C29" s="814" t="s">
        <v>599</v>
      </c>
      <c r="D29" s="865" t="s">
        <v>590</v>
      </c>
      <c r="E29" s="865">
        <v>0</v>
      </c>
      <c r="F29" s="870">
        <v>50</v>
      </c>
      <c r="G29" s="870">
        <v>100</v>
      </c>
      <c r="H29" s="1369"/>
      <c r="I29" s="1369"/>
      <c r="J29" s="1369"/>
      <c r="L29" s="872"/>
      <c r="M29" s="872"/>
    </row>
    <row r="30" spans="1:13" ht="16.5">
      <c r="A30" s="809"/>
      <c r="B30" s="865"/>
      <c r="C30" s="814" t="s">
        <v>593</v>
      </c>
      <c r="D30" s="865" t="s">
        <v>592</v>
      </c>
      <c r="E30" s="138">
        <v>0</v>
      </c>
      <c r="F30" s="865">
        <f>ROUND(F28*0.2*0.5*0.54,1)</f>
        <v>5.4</v>
      </c>
      <c r="G30" s="869">
        <f>ROUND(G28*0.2*0.5*0.6,1)</f>
        <v>12</v>
      </c>
      <c r="H30" s="1369"/>
      <c r="I30" s="1369"/>
      <c r="J30" s="1369"/>
      <c r="L30" s="872"/>
      <c r="M30" s="872"/>
    </row>
    <row r="31" spans="1:13" ht="16.5">
      <c r="A31" s="809"/>
      <c r="B31" s="865"/>
      <c r="C31" s="814" t="s">
        <v>591</v>
      </c>
      <c r="D31" s="865" t="s">
        <v>592</v>
      </c>
      <c r="E31" s="138">
        <v>0</v>
      </c>
      <c r="F31" s="870">
        <f>F29*3.5</f>
        <v>175</v>
      </c>
      <c r="G31" s="870">
        <f>G29*4</f>
        <v>400</v>
      </c>
      <c r="H31" s="1370"/>
      <c r="I31" s="1370"/>
      <c r="J31" s="1370"/>
      <c r="L31" s="872"/>
      <c r="M31" s="872"/>
    </row>
    <row r="32" spans="1:13" s="817" customFormat="1" ht="16.5">
      <c r="A32" s="816">
        <v>2</v>
      </c>
      <c r="B32" s="862"/>
      <c r="C32" s="863" t="s">
        <v>550</v>
      </c>
      <c r="D32" s="862"/>
      <c r="E32" s="862"/>
      <c r="F32" s="862"/>
      <c r="G32" s="862"/>
      <c r="H32" s="862"/>
      <c r="I32" s="862"/>
      <c r="J32" s="862"/>
    </row>
    <row r="33" spans="1:13" ht="16.5">
      <c r="A33" s="809"/>
      <c r="B33" s="862">
        <v>6</v>
      </c>
      <c r="C33" s="863" t="s">
        <v>630</v>
      </c>
      <c r="D33" s="865"/>
      <c r="E33" s="865"/>
      <c r="F33" s="865"/>
      <c r="G33" s="865"/>
      <c r="H33" s="865"/>
      <c r="I33" s="865"/>
      <c r="J33" s="865"/>
    </row>
    <row r="34" spans="1:13" ht="16.5">
      <c r="A34" s="809"/>
      <c r="B34" s="865"/>
      <c r="C34" s="814" t="s">
        <v>37</v>
      </c>
      <c r="D34" s="865" t="s">
        <v>590</v>
      </c>
      <c r="E34" s="865">
        <v>70</v>
      </c>
      <c r="F34" s="870">
        <v>80</v>
      </c>
      <c r="G34" s="870">
        <v>90</v>
      </c>
      <c r="H34" s="1368">
        <v>10</v>
      </c>
      <c r="I34" s="1368">
        <f>ROUND(H34*1.15,0)</f>
        <v>12</v>
      </c>
      <c r="J34" s="1368">
        <v>14</v>
      </c>
    </row>
    <row r="35" spans="1:13" ht="16.5">
      <c r="A35" s="809"/>
      <c r="B35" s="865"/>
      <c r="C35" s="814" t="s">
        <v>599</v>
      </c>
      <c r="D35" s="865" t="s">
        <v>590</v>
      </c>
      <c r="E35" s="865">
        <v>30</v>
      </c>
      <c r="F35" s="870">
        <v>35</v>
      </c>
      <c r="G35" s="870">
        <v>40</v>
      </c>
      <c r="H35" s="1369"/>
      <c r="I35" s="1369"/>
      <c r="J35" s="1369"/>
    </row>
    <row r="36" spans="1:13" ht="17.25" customHeight="1">
      <c r="A36" s="809"/>
      <c r="B36" s="865"/>
      <c r="C36" s="814" t="s">
        <v>40</v>
      </c>
      <c r="D36" s="865" t="s">
        <v>590</v>
      </c>
      <c r="E36" s="865">
        <v>132</v>
      </c>
      <c r="F36" s="870">
        <v>150</v>
      </c>
      <c r="G36" s="870">
        <v>170</v>
      </c>
      <c r="H36" s="1369"/>
      <c r="I36" s="1369"/>
      <c r="J36" s="1369"/>
      <c r="K36" s="815" t="s">
        <v>642</v>
      </c>
      <c r="L36" s="818">
        <f>ROUND(F34*0.2*0.5*0.54,1)</f>
        <v>4.3</v>
      </c>
      <c r="M36" s="820">
        <f>ROUND(G34*0.2*0.5*0.6,1)</f>
        <v>5.4</v>
      </c>
    </row>
    <row r="37" spans="1:13" ht="16.5">
      <c r="A37" s="809"/>
      <c r="B37" s="865"/>
      <c r="C37" s="814" t="s">
        <v>41</v>
      </c>
      <c r="D37" s="865" t="s">
        <v>590</v>
      </c>
      <c r="E37" s="865">
        <v>15</v>
      </c>
      <c r="F37" s="870">
        <v>15</v>
      </c>
      <c r="G37" s="870">
        <v>15</v>
      </c>
      <c r="H37" s="1369"/>
      <c r="I37" s="1369"/>
      <c r="J37" s="1369"/>
      <c r="K37" s="815" t="s">
        <v>643</v>
      </c>
      <c r="L37" s="821">
        <f>ROUND(F36*0.3*0.25*0.7,1)</f>
        <v>7.9</v>
      </c>
      <c r="M37" s="821">
        <f>ROUND(G36*0.3*0.25*0.8,1)</f>
        <v>10.199999999999999</v>
      </c>
    </row>
    <row r="38" spans="1:13" ht="16.5">
      <c r="A38" s="809"/>
      <c r="B38" s="865"/>
      <c r="C38" s="814" t="s">
        <v>640</v>
      </c>
      <c r="D38" s="865" t="s">
        <v>592</v>
      </c>
      <c r="E38" s="865" t="s">
        <v>641</v>
      </c>
      <c r="F38" s="869">
        <f>L39</f>
        <v>12.2</v>
      </c>
      <c r="G38" s="869">
        <f>M39</f>
        <v>15.6</v>
      </c>
      <c r="H38" s="1369"/>
      <c r="I38" s="1369"/>
      <c r="J38" s="1369"/>
      <c r="K38" s="815" t="s">
        <v>644</v>
      </c>
      <c r="L38" s="822">
        <f>ROUND(F37*0.1*0.25,0)</f>
        <v>0</v>
      </c>
      <c r="M38" s="824">
        <f>ROUND(G37*0.1*0.3,0)</f>
        <v>0</v>
      </c>
    </row>
    <row r="39" spans="1:13" ht="16.5">
      <c r="A39" s="809"/>
      <c r="B39" s="865"/>
      <c r="C39" s="814" t="s">
        <v>601</v>
      </c>
      <c r="D39" s="865" t="s">
        <v>592</v>
      </c>
      <c r="E39" s="865" t="s">
        <v>641</v>
      </c>
      <c r="F39" s="869">
        <f>F35*3.5</f>
        <v>122.5</v>
      </c>
      <c r="G39" s="869">
        <f>G35*4</f>
        <v>160</v>
      </c>
      <c r="H39" s="1370"/>
      <c r="I39" s="1370"/>
      <c r="J39" s="1370"/>
      <c r="K39" s="815" t="s">
        <v>645</v>
      </c>
      <c r="L39" s="822">
        <f>L36+L37+L38</f>
        <v>12.2</v>
      </c>
      <c r="M39" s="822">
        <f>M36+M37+M38</f>
        <v>15.6</v>
      </c>
    </row>
    <row r="40" spans="1:13" s="817" customFormat="1" ht="16.5">
      <c r="A40" s="816">
        <v>3</v>
      </c>
      <c r="B40" s="862"/>
      <c r="C40" s="863" t="s">
        <v>551</v>
      </c>
      <c r="D40" s="862"/>
      <c r="E40" s="862"/>
      <c r="F40" s="862"/>
      <c r="G40" s="862"/>
      <c r="H40" s="862"/>
      <c r="I40" s="862"/>
      <c r="J40" s="862"/>
    </row>
    <row r="41" spans="1:13" ht="19.5" customHeight="1">
      <c r="A41" s="819" t="s">
        <v>635</v>
      </c>
      <c r="B41" s="875" t="s">
        <v>743</v>
      </c>
      <c r="C41" s="863" t="s">
        <v>631</v>
      </c>
      <c r="D41" s="865"/>
      <c r="E41" s="865"/>
      <c r="F41" s="865"/>
      <c r="G41" s="865"/>
      <c r="H41" s="865"/>
      <c r="I41" s="865"/>
      <c r="J41" s="865"/>
    </row>
    <row r="42" spans="1:13" ht="16.5">
      <c r="A42" s="809"/>
      <c r="B42" s="865"/>
      <c r="C42" s="814" t="s">
        <v>603</v>
      </c>
      <c r="D42" s="865" t="s">
        <v>590</v>
      </c>
      <c r="E42" s="865">
        <v>125</v>
      </c>
      <c r="F42" s="865">
        <f>E42+100</f>
        <v>225</v>
      </c>
      <c r="G42" s="865">
        <f>E42+200</f>
        <v>325</v>
      </c>
      <c r="H42" s="1368">
        <v>62</v>
      </c>
      <c r="I42" s="1368">
        <v>70</v>
      </c>
      <c r="J42" s="1368">
        <v>80</v>
      </c>
    </row>
    <row r="43" spans="1:13" ht="16.5">
      <c r="A43" s="809"/>
      <c r="B43" s="865"/>
      <c r="C43" s="814" t="s">
        <v>599</v>
      </c>
      <c r="D43" s="865" t="s">
        <v>590</v>
      </c>
      <c r="E43" s="865">
        <v>87</v>
      </c>
      <c r="F43" s="865">
        <v>125</v>
      </c>
      <c r="G43" s="865">
        <v>160</v>
      </c>
      <c r="H43" s="1369"/>
      <c r="I43" s="1369"/>
      <c r="J43" s="1369"/>
    </row>
    <row r="44" spans="1:13" ht="15.75" customHeight="1">
      <c r="A44" s="809"/>
      <c r="B44" s="865"/>
      <c r="C44" s="814" t="s">
        <v>604</v>
      </c>
      <c r="D44" s="865" t="s">
        <v>590</v>
      </c>
      <c r="E44" s="6">
        <v>0</v>
      </c>
      <c r="F44" s="865">
        <f t="shared" ref="F44" si="4">ROUND(E44*1.15,0)</f>
        <v>0</v>
      </c>
      <c r="G44" s="865">
        <f t="shared" ref="G44" si="5">ROUND(E44*1.3,0)</f>
        <v>0</v>
      </c>
      <c r="H44" s="1369"/>
      <c r="I44" s="1369"/>
      <c r="J44" s="1369"/>
      <c r="K44" s="815" t="s">
        <v>642</v>
      </c>
      <c r="L44" s="818">
        <f>ROUND(F42*0.2*0.5*0.54,1)</f>
        <v>12.2</v>
      </c>
      <c r="M44" s="820">
        <f>ROUND(G42*0.2*0.5*0.6,1)</f>
        <v>19.5</v>
      </c>
    </row>
    <row r="45" spans="1:13" ht="16.5">
      <c r="A45" s="809"/>
      <c r="B45" s="865"/>
      <c r="C45" s="814" t="s">
        <v>41</v>
      </c>
      <c r="D45" s="865" t="s">
        <v>590</v>
      </c>
      <c r="E45" s="865">
        <v>43</v>
      </c>
      <c r="F45" s="865">
        <v>45</v>
      </c>
      <c r="G45" s="865">
        <v>50</v>
      </c>
      <c r="H45" s="1369"/>
      <c r="I45" s="1369"/>
      <c r="J45" s="1369"/>
      <c r="K45" s="815" t="s">
        <v>643</v>
      </c>
      <c r="L45" s="821">
        <f>ROUND(F44*0.3*0.25*0.7,1)</f>
        <v>0</v>
      </c>
      <c r="M45" s="821">
        <f>ROUND(G44*0.3*0.25*0.8,1)</f>
        <v>0</v>
      </c>
    </row>
    <row r="46" spans="1:13" ht="16.5">
      <c r="A46" s="809"/>
      <c r="B46" s="865"/>
      <c r="C46" s="814" t="s">
        <v>640</v>
      </c>
      <c r="D46" s="865" t="s">
        <v>592</v>
      </c>
      <c r="E46" s="865">
        <v>8</v>
      </c>
      <c r="F46" s="865">
        <f>L47</f>
        <v>13.2</v>
      </c>
      <c r="G46" s="865">
        <f>M47</f>
        <v>21.5</v>
      </c>
      <c r="H46" s="1369"/>
      <c r="I46" s="1369"/>
      <c r="J46" s="1369"/>
      <c r="K46" s="815" t="s">
        <v>644</v>
      </c>
      <c r="L46" s="822">
        <f>ROUND(F45*0.1*0.25,0)</f>
        <v>1</v>
      </c>
      <c r="M46" s="822">
        <f>ROUND(G45*0.1*0.3,0)</f>
        <v>2</v>
      </c>
    </row>
    <row r="47" spans="1:13" ht="16.5">
      <c r="A47" s="809"/>
      <c r="B47" s="865"/>
      <c r="C47" s="814" t="s">
        <v>601</v>
      </c>
      <c r="D47" s="865" t="s">
        <v>592</v>
      </c>
      <c r="E47" s="865">
        <v>164</v>
      </c>
      <c r="F47" s="865">
        <f>F43*3.5</f>
        <v>437.5</v>
      </c>
      <c r="G47" s="865">
        <f>G43*4</f>
        <v>640</v>
      </c>
      <c r="H47" s="1370"/>
      <c r="I47" s="1370"/>
      <c r="J47" s="1370"/>
      <c r="K47" s="815" t="s">
        <v>645</v>
      </c>
      <c r="L47" s="822">
        <f>L44+L45+L46</f>
        <v>13.2</v>
      </c>
      <c r="M47" s="822">
        <f>M44+M45+M46</f>
        <v>21.5</v>
      </c>
    </row>
    <row r="48" spans="1:13" ht="16.5">
      <c r="A48" s="819" t="s">
        <v>636</v>
      </c>
      <c r="B48" s="875"/>
      <c r="C48" s="863" t="s">
        <v>632</v>
      </c>
      <c r="D48" s="865"/>
      <c r="E48" s="865"/>
      <c r="F48" s="865"/>
      <c r="G48" s="865"/>
      <c r="H48" s="865"/>
      <c r="I48" s="865"/>
      <c r="J48" s="865"/>
    </row>
    <row r="49" spans="1:13" ht="16.5">
      <c r="A49" s="809"/>
      <c r="B49" s="865"/>
      <c r="C49" s="814" t="s">
        <v>37</v>
      </c>
      <c r="D49" s="865" t="s">
        <v>590</v>
      </c>
      <c r="E49" s="865">
        <v>1075</v>
      </c>
      <c r="F49" s="865">
        <v>1200</v>
      </c>
      <c r="G49" s="865">
        <v>1400</v>
      </c>
      <c r="H49" s="1371">
        <v>138</v>
      </c>
      <c r="I49" s="1371">
        <v>150</v>
      </c>
      <c r="J49" s="1371">
        <v>160</v>
      </c>
    </row>
    <row r="50" spans="1:13" ht="15" customHeight="1">
      <c r="A50" s="809"/>
      <c r="B50" s="865"/>
      <c r="C50" s="814" t="s">
        <v>599</v>
      </c>
      <c r="D50" s="865" t="s">
        <v>590</v>
      </c>
      <c r="E50" s="865">
        <v>319</v>
      </c>
      <c r="F50" s="865">
        <v>370</v>
      </c>
      <c r="G50" s="865">
        <v>400</v>
      </c>
      <c r="H50" s="1371"/>
      <c r="I50" s="1371"/>
      <c r="J50" s="1371"/>
      <c r="K50" s="815">
        <f>F49*117/2080</f>
        <v>67.5</v>
      </c>
      <c r="L50" s="815">
        <f>G49*117/2080</f>
        <v>78.75</v>
      </c>
    </row>
    <row r="51" spans="1:13" ht="16.5">
      <c r="A51" s="809"/>
      <c r="B51" s="865"/>
      <c r="C51" s="814" t="s">
        <v>41</v>
      </c>
      <c r="D51" s="865" t="s">
        <v>590</v>
      </c>
      <c r="E51" s="865">
        <v>128</v>
      </c>
      <c r="F51" s="865">
        <v>130</v>
      </c>
      <c r="G51" s="865">
        <v>150</v>
      </c>
      <c r="H51" s="1371"/>
      <c r="I51" s="1371"/>
      <c r="J51" s="1371"/>
    </row>
    <row r="52" spans="1:13" ht="33">
      <c r="A52" s="809"/>
      <c r="B52" s="865"/>
      <c r="C52" s="863" t="s">
        <v>633</v>
      </c>
      <c r="D52" s="865"/>
      <c r="E52" s="865"/>
      <c r="F52" s="865"/>
      <c r="G52" s="865"/>
      <c r="H52" s="876"/>
      <c r="I52" s="876"/>
      <c r="J52" s="876"/>
    </row>
    <row r="53" spans="1:13" ht="16.5">
      <c r="A53" s="809"/>
      <c r="B53" s="865"/>
      <c r="C53" s="814" t="s">
        <v>37</v>
      </c>
      <c r="D53" s="865" t="s">
        <v>590</v>
      </c>
      <c r="E53" s="865">
        <v>390</v>
      </c>
      <c r="F53" s="865">
        <v>400</v>
      </c>
      <c r="G53" s="865">
        <v>500</v>
      </c>
      <c r="H53" s="1371">
        <v>45</v>
      </c>
      <c r="I53" s="1371">
        <v>50</v>
      </c>
      <c r="J53" s="1371">
        <v>60</v>
      </c>
    </row>
    <row r="54" spans="1:13" ht="16.5">
      <c r="A54" s="809"/>
      <c r="B54" s="865"/>
      <c r="C54" s="814" t="s">
        <v>599</v>
      </c>
      <c r="D54" s="865" t="s">
        <v>590</v>
      </c>
      <c r="E54" s="865">
        <v>227</v>
      </c>
      <c r="F54" s="865">
        <v>230</v>
      </c>
      <c r="G54" s="865">
        <v>300</v>
      </c>
      <c r="H54" s="1371"/>
      <c r="I54" s="1371"/>
      <c r="J54" s="1371"/>
    </row>
    <row r="55" spans="1:13" ht="16.5">
      <c r="A55" s="809"/>
      <c r="B55" s="862">
        <v>8</v>
      </c>
      <c r="C55" s="863" t="s">
        <v>634</v>
      </c>
      <c r="D55" s="865"/>
      <c r="E55" s="865"/>
      <c r="F55" s="865"/>
      <c r="G55" s="865"/>
      <c r="H55" s="876"/>
      <c r="I55" s="876"/>
      <c r="J55" s="876"/>
      <c r="K55" s="815">
        <f>F53*117/2080</f>
        <v>22.5</v>
      </c>
      <c r="L55" s="815">
        <f>G53*117/2080</f>
        <v>28.125</v>
      </c>
    </row>
    <row r="56" spans="1:13" ht="16.5">
      <c r="A56" s="809"/>
      <c r="B56" s="865"/>
      <c r="C56" s="814" t="s">
        <v>37</v>
      </c>
      <c r="D56" s="865" t="s">
        <v>590</v>
      </c>
      <c r="E56" s="865">
        <f t="shared" ref="E56:J56" si="6">E49+E53</f>
        <v>1465</v>
      </c>
      <c r="F56" s="865">
        <f>F49+F53</f>
        <v>1600</v>
      </c>
      <c r="G56" s="865">
        <f t="shared" si="6"/>
        <v>1900</v>
      </c>
      <c r="H56" s="1368">
        <f t="shared" si="6"/>
        <v>183</v>
      </c>
      <c r="I56" s="1368">
        <f t="shared" si="6"/>
        <v>200</v>
      </c>
      <c r="J56" s="1368">
        <f t="shared" si="6"/>
        <v>220</v>
      </c>
    </row>
    <row r="57" spans="1:13" ht="15" customHeight="1">
      <c r="A57" s="809"/>
      <c r="B57" s="865"/>
      <c r="C57" s="877" t="s">
        <v>647</v>
      </c>
      <c r="D57" s="865" t="s">
        <v>590</v>
      </c>
      <c r="E57" s="865">
        <f>E50+E54</f>
        <v>546</v>
      </c>
      <c r="F57" s="865">
        <f>F50+F54</f>
        <v>600</v>
      </c>
      <c r="G57" s="865">
        <f>G50+G54</f>
        <v>700</v>
      </c>
      <c r="H57" s="1369"/>
      <c r="I57" s="1369"/>
      <c r="J57" s="1369"/>
      <c r="K57" s="815" t="s">
        <v>642</v>
      </c>
      <c r="L57" s="818">
        <f>ROUND(F56*0.3*0.5*0.54,1)</f>
        <v>129.6</v>
      </c>
      <c r="M57" s="818">
        <f>ROUND(G56*0.3*0.5*0.6,1)</f>
        <v>171</v>
      </c>
    </row>
    <row r="58" spans="1:13" ht="16.5">
      <c r="A58" s="809"/>
      <c r="B58" s="865"/>
      <c r="C58" s="814" t="s">
        <v>646</v>
      </c>
      <c r="D58" s="865" t="s">
        <v>590</v>
      </c>
      <c r="E58" s="865">
        <f>E51</f>
        <v>128</v>
      </c>
      <c r="F58" s="865">
        <v>130</v>
      </c>
      <c r="G58" s="865">
        <v>140</v>
      </c>
      <c r="H58" s="1369"/>
      <c r="I58" s="1369"/>
      <c r="J58" s="1369"/>
      <c r="K58" s="815" t="s">
        <v>644</v>
      </c>
      <c r="L58" s="822">
        <f>ROUND(F51*0.3*0.25,1)</f>
        <v>9.8000000000000007</v>
      </c>
      <c r="M58" s="822">
        <f>ROUND(G51*0.3*0.3,1)</f>
        <v>13.5</v>
      </c>
    </row>
    <row r="59" spans="1:13" ht="16.5">
      <c r="A59" s="809"/>
      <c r="B59" s="865"/>
      <c r="C59" s="814" t="s">
        <v>640</v>
      </c>
      <c r="D59" s="865" t="s">
        <v>592</v>
      </c>
      <c r="E59" s="865">
        <v>192</v>
      </c>
      <c r="F59" s="869">
        <f>L59</f>
        <v>139.4</v>
      </c>
      <c r="G59" s="869">
        <f>M59</f>
        <v>184.5</v>
      </c>
      <c r="H59" s="1369"/>
      <c r="I59" s="1369"/>
      <c r="J59" s="1369"/>
      <c r="K59" s="815" t="s">
        <v>645</v>
      </c>
      <c r="L59" s="823">
        <f>L57+L58</f>
        <v>139.4</v>
      </c>
      <c r="M59" s="823">
        <f>M57+M58</f>
        <v>184.5</v>
      </c>
    </row>
    <row r="60" spans="1:13" ht="16.5">
      <c r="A60" s="809"/>
      <c r="B60" s="865"/>
      <c r="C60" s="814" t="s">
        <v>601</v>
      </c>
      <c r="D60" s="865" t="s">
        <v>592</v>
      </c>
      <c r="E60" s="865">
        <v>2174</v>
      </c>
      <c r="F60" s="865">
        <f>F57*3.5</f>
        <v>2100</v>
      </c>
      <c r="G60" s="865">
        <f>G57*4</f>
        <v>2800</v>
      </c>
      <c r="H60" s="1370"/>
      <c r="I60" s="1370"/>
      <c r="J60" s="1370"/>
      <c r="K60" s="817"/>
      <c r="L60" s="817"/>
      <c r="M60" s="817"/>
    </row>
    <row r="61" spans="1:13" s="817" customFormat="1" ht="16.5">
      <c r="A61" s="816">
        <v>4</v>
      </c>
      <c r="B61" s="862"/>
      <c r="C61" s="863" t="s">
        <v>553</v>
      </c>
      <c r="D61" s="862"/>
      <c r="E61" s="862"/>
      <c r="F61" s="862"/>
      <c r="G61" s="862"/>
      <c r="H61" s="862"/>
      <c r="I61" s="862"/>
      <c r="J61" s="862"/>
      <c r="K61" s="815"/>
      <c r="L61" s="815"/>
      <c r="M61" s="815"/>
    </row>
    <row r="62" spans="1:13" ht="16.5">
      <c r="A62" s="809"/>
      <c r="B62" s="862">
        <v>9</v>
      </c>
      <c r="C62" s="863" t="s">
        <v>637</v>
      </c>
      <c r="D62" s="865"/>
      <c r="E62" s="865"/>
      <c r="F62" s="865"/>
      <c r="G62" s="865"/>
      <c r="H62" s="865"/>
      <c r="I62" s="865"/>
      <c r="J62" s="865"/>
    </row>
    <row r="63" spans="1:13" ht="16.5">
      <c r="A63" s="809"/>
      <c r="B63" s="865"/>
      <c r="C63" s="814" t="s">
        <v>37</v>
      </c>
      <c r="D63" s="865" t="s">
        <v>590</v>
      </c>
      <c r="E63" s="865">
        <v>20</v>
      </c>
      <c r="F63" s="865">
        <v>20</v>
      </c>
      <c r="G63" s="865">
        <v>20</v>
      </c>
      <c r="H63" s="1368">
        <v>3</v>
      </c>
      <c r="I63" s="1368">
        <f>ROUND(H63*1.15,0)</f>
        <v>3</v>
      </c>
      <c r="J63" s="1368">
        <v>3</v>
      </c>
    </row>
    <row r="64" spans="1:13" ht="16.5" customHeight="1">
      <c r="A64" s="809"/>
      <c r="B64" s="865"/>
      <c r="C64" s="814" t="s">
        <v>599</v>
      </c>
      <c r="D64" s="865" t="s">
        <v>590</v>
      </c>
      <c r="E64" s="865">
        <v>15</v>
      </c>
      <c r="F64" s="865">
        <v>15</v>
      </c>
      <c r="G64" s="865">
        <v>15</v>
      </c>
      <c r="H64" s="1369"/>
      <c r="I64" s="1369"/>
      <c r="J64" s="1369"/>
      <c r="K64" s="815" t="s">
        <v>642</v>
      </c>
      <c r="L64" s="818">
        <f>ROUND(F63*0.3*0.5*0.54,1)</f>
        <v>1.6</v>
      </c>
      <c r="M64" s="818">
        <f>ROUND(G63*0.3*0.5*0.6,1)</f>
        <v>1.8</v>
      </c>
    </row>
    <row r="65" spans="1:16" ht="16.5">
      <c r="A65" s="809"/>
      <c r="B65" s="865"/>
      <c r="C65" s="814" t="s">
        <v>640</v>
      </c>
      <c r="D65" s="865" t="s">
        <v>592</v>
      </c>
      <c r="E65" s="865">
        <v>2</v>
      </c>
      <c r="F65" s="865">
        <f t="shared" ref="F65:F66" si="7">ROUND(E65*1.15,0)</f>
        <v>2</v>
      </c>
      <c r="G65" s="865">
        <f t="shared" ref="G65:G66" si="8">ROUND(E65*1.3,0)</f>
        <v>3</v>
      </c>
      <c r="H65" s="1369"/>
      <c r="I65" s="1369"/>
      <c r="J65" s="1369"/>
    </row>
    <row r="66" spans="1:16" ht="16.5">
      <c r="A66" s="809"/>
      <c r="B66" s="865"/>
      <c r="C66" s="814" t="s">
        <v>601</v>
      </c>
      <c r="D66" s="865" t="s">
        <v>592</v>
      </c>
      <c r="E66" s="865">
        <v>57</v>
      </c>
      <c r="F66" s="865">
        <f t="shared" si="7"/>
        <v>66</v>
      </c>
      <c r="G66" s="865">
        <f t="shared" si="8"/>
        <v>74</v>
      </c>
      <c r="H66" s="1370"/>
      <c r="I66" s="1370"/>
      <c r="J66" s="1370"/>
    </row>
    <row r="67" spans="1:16" s="817" customFormat="1" ht="16.5">
      <c r="A67" s="816">
        <v>5</v>
      </c>
      <c r="B67" s="862"/>
      <c r="C67" s="863" t="s">
        <v>554</v>
      </c>
      <c r="D67" s="865"/>
      <c r="E67" s="865"/>
      <c r="F67" s="865"/>
      <c r="G67" s="865"/>
      <c r="H67" s="865"/>
      <c r="I67" s="865"/>
      <c r="J67" s="865"/>
      <c r="K67" s="815"/>
      <c r="L67" s="815"/>
      <c r="M67" s="815"/>
    </row>
    <row r="68" spans="1:16" ht="16.5">
      <c r="A68" s="809"/>
      <c r="B68" s="862">
        <v>10</v>
      </c>
      <c r="C68" s="863" t="s">
        <v>638</v>
      </c>
      <c r="D68" s="865"/>
      <c r="E68" s="865"/>
      <c r="F68" s="865"/>
      <c r="G68" s="865"/>
      <c r="H68" s="865"/>
      <c r="I68" s="865"/>
      <c r="J68" s="865"/>
    </row>
    <row r="69" spans="1:16" ht="16.5">
      <c r="A69" s="809"/>
      <c r="B69" s="865"/>
      <c r="C69" s="814" t="s">
        <v>37</v>
      </c>
      <c r="D69" s="865" t="s">
        <v>590</v>
      </c>
      <c r="E69" s="865">
        <v>135</v>
      </c>
      <c r="F69" s="865">
        <v>150</v>
      </c>
      <c r="G69" s="865">
        <v>170</v>
      </c>
      <c r="H69" s="1368">
        <v>15</v>
      </c>
      <c r="I69" s="1368">
        <f>ROUND(H69*1.15,0)</f>
        <v>17</v>
      </c>
      <c r="J69" s="1368">
        <f>ROUND(H69*1.3,0)</f>
        <v>20</v>
      </c>
    </row>
    <row r="70" spans="1:16" ht="16.5">
      <c r="A70" s="809"/>
      <c r="B70" s="865"/>
      <c r="C70" s="814" t="s">
        <v>599</v>
      </c>
      <c r="D70" s="865" t="s">
        <v>590</v>
      </c>
      <c r="E70" s="865">
        <v>76</v>
      </c>
      <c r="F70" s="865">
        <v>80</v>
      </c>
      <c r="G70" s="865">
        <v>85</v>
      </c>
      <c r="H70" s="1369"/>
      <c r="I70" s="1369"/>
      <c r="J70" s="1369"/>
    </row>
    <row r="71" spans="1:16" ht="15" customHeight="1">
      <c r="A71" s="809"/>
      <c r="B71" s="865"/>
      <c r="C71" s="814" t="s">
        <v>40</v>
      </c>
      <c r="D71" s="865" t="s">
        <v>590</v>
      </c>
      <c r="E71" s="865">
        <v>65</v>
      </c>
      <c r="F71" s="865">
        <v>70</v>
      </c>
      <c r="G71" s="865">
        <v>80</v>
      </c>
      <c r="H71" s="1369"/>
      <c r="I71" s="1369"/>
      <c r="J71" s="1369"/>
      <c r="K71" s="815" t="s">
        <v>642</v>
      </c>
      <c r="L71" s="818">
        <f>ROUND(F69*0.2*0.5*0.54,1)</f>
        <v>8.1</v>
      </c>
      <c r="M71" s="820">
        <f>ROUND(G69*0.2*0.5*0.6,1)</f>
        <v>10.199999999999999</v>
      </c>
    </row>
    <row r="72" spans="1:16" ht="16.5">
      <c r="A72" s="809"/>
      <c r="B72" s="865"/>
      <c r="C72" s="814" t="s">
        <v>41</v>
      </c>
      <c r="D72" s="865" t="s">
        <v>590</v>
      </c>
      <c r="E72" s="865">
        <v>4</v>
      </c>
      <c r="F72" s="865">
        <f t="shared" ref="F72" si="9">ROUND(E72*1.15,0)</f>
        <v>5</v>
      </c>
      <c r="G72" s="865">
        <f t="shared" ref="G72" si="10">ROUND(E72*1.3,0)</f>
        <v>5</v>
      </c>
      <c r="H72" s="1369"/>
      <c r="I72" s="1369"/>
      <c r="J72" s="1369"/>
      <c r="K72" s="815" t="s">
        <v>643</v>
      </c>
      <c r="L72" s="821">
        <f>ROUND(F71*0.3*0.25*0.7,1)</f>
        <v>3.7</v>
      </c>
      <c r="M72" s="821">
        <f>ROUND(G71*0.3*0.25*0.8,1)</f>
        <v>4.8</v>
      </c>
      <c r="O72" s="815">
        <f>F69*117/2080</f>
        <v>8.4375</v>
      </c>
      <c r="P72" s="815">
        <f>G69*117/2080</f>
        <v>9.5625</v>
      </c>
    </row>
    <row r="73" spans="1:16" ht="16.5">
      <c r="A73" s="809"/>
      <c r="B73" s="865"/>
      <c r="C73" s="814" t="s">
        <v>640</v>
      </c>
      <c r="D73" s="865" t="s">
        <v>592</v>
      </c>
      <c r="E73" s="865" t="s">
        <v>641</v>
      </c>
      <c r="F73" s="865">
        <f>L74</f>
        <v>11.8</v>
      </c>
      <c r="G73" s="865">
        <f>M74</f>
        <v>15</v>
      </c>
      <c r="H73" s="1369"/>
      <c r="I73" s="1369"/>
      <c r="J73" s="1369"/>
      <c r="K73" s="815" t="s">
        <v>644</v>
      </c>
      <c r="L73" s="822">
        <f>ROUND(F72*0.1*0.25,0)</f>
        <v>0</v>
      </c>
      <c r="M73" s="822">
        <f>ROUND(G72*0.1*0.3,0)</f>
        <v>0</v>
      </c>
    </row>
    <row r="74" spans="1:16" ht="16.5">
      <c r="A74" s="809"/>
      <c r="B74" s="865"/>
      <c r="C74" s="814" t="s">
        <v>601</v>
      </c>
      <c r="D74" s="865" t="s">
        <v>592</v>
      </c>
      <c r="E74" s="865" t="s">
        <v>641</v>
      </c>
      <c r="F74" s="865">
        <f>F70*3.5</f>
        <v>280</v>
      </c>
      <c r="G74" s="865">
        <f>G70*3.5</f>
        <v>297.5</v>
      </c>
      <c r="H74" s="1370"/>
      <c r="I74" s="1370"/>
      <c r="J74" s="1370"/>
      <c r="K74" s="815" t="s">
        <v>645</v>
      </c>
      <c r="L74" s="822">
        <f>L71+L72+L73</f>
        <v>11.8</v>
      </c>
      <c r="M74" s="822">
        <f>M71+M72+M73</f>
        <v>15</v>
      </c>
    </row>
    <row r="75" spans="1:16" s="817" customFormat="1" ht="16.5">
      <c r="A75" s="816">
        <v>6</v>
      </c>
      <c r="B75" s="862"/>
      <c r="C75" s="863" t="s">
        <v>555</v>
      </c>
      <c r="D75" s="865"/>
      <c r="E75" s="865"/>
      <c r="F75" s="865"/>
      <c r="G75" s="865"/>
      <c r="H75" s="865"/>
      <c r="I75" s="865"/>
      <c r="J75" s="865"/>
      <c r="K75" s="815"/>
      <c r="L75" s="815"/>
      <c r="M75" s="815"/>
    </row>
    <row r="76" spans="1:16" ht="16.5">
      <c r="A76" s="809"/>
      <c r="B76" s="862">
        <v>11</v>
      </c>
      <c r="C76" s="863" t="s">
        <v>639</v>
      </c>
      <c r="D76" s="865"/>
      <c r="E76" s="865"/>
      <c r="F76" s="865"/>
      <c r="G76" s="865"/>
      <c r="H76" s="1368">
        <v>47</v>
      </c>
      <c r="I76" s="1368">
        <v>45</v>
      </c>
      <c r="J76" s="1368">
        <v>40</v>
      </c>
    </row>
    <row r="77" spans="1:16" ht="16.5">
      <c r="A77" s="809"/>
      <c r="B77" s="865"/>
      <c r="C77" s="814" t="s">
        <v>37</v>
      </c>
      <c r="D77" s="865" t="s">
        <v>590</v>
      </c>
      <c r="E77" s="865">
        <v>247</v>
      </c>
      <c r="F77" s="865">
        <v>250</v>
      </c>
      <c r="G77" s="865">
        <v>200</v>
      </c>
      <c r="H77" s="1369"/>
      <c r="I77" s="1369"/>
      <c r="J77" s="1369"/>
    </row>
    <row r="78" spans="1:16" ht="15.75" customHeight="1">
      <c r="A78" s="809"/>
      <c r="B78" s="865"/>
      <c r="C78" s="814" t="s">
        <v>599</v>
      </c>
      <c r="D78" s="865" t="s">
        <v>590</v>
      </c>
      <c r="E78" s="865">
        <v>92</v>
      </c>
      <c r="F78" s="865">
        <v>100</v>
      </c>
      <c r="G78" s="865">
        <v>80</v>
      </c>
      <c r="H78" s="1369"/>
      <c r="I78" s="1369"/>
      <c r="J78" s="1369"/>
      <c r="K78" s="815" t="s">
        <v>642</v>
      </c>
      <c r="L78" s="818">
        <f>ROUND(F77*0.3*0.5*0.54,1)</f>
        <v>20.3</v>
      </c>
      <c r="M78" s="818">
        <f>ROUND(G77*0.3*0.5*0.6,1)</f>
        <v>18</v>
      </c>
      <c r="O78" s="815">
        <f>F77-E77</f>
        <v>3</v>
      </c>
      <c r="P78" s="815">
        <f>G77-E77</f>
        <v>-47</v>
      </c>
    </row>
    <row r="79" spans="1:16" ht="17.25" customHeight="1">
      <c r="A79" s="809"/>
      <c r="B79" s="865"/>
      <c r="C79" s="814" t="s">
        <v>41</v>
      </c>
      <c r="D79" s="865" t="s">
        <v>590</v>
      </c>
      <c r="E79" s="865">
        <v>25</v>
      </c>
      <c r="F79" s="865">
        <v>25</v>
      </c>
      <c r="G79" s="865">
        <v>25</v>
      </c>
      <c r="H79" s="1369"/>
      <c r="I79" s="1369"/>
      <c r="J79" s="1369"/>
      <c r="K79" s="815" t="s">
        <v>644</v>
      </c>
      <c r="L79" s="822">
        <f>ROUND(F79*0.3*0.25,1)</f>
        <v>1.9</v>
      </c>
      <c r="M79" s="822">
        <f>ROUND(G79*0.3*0.3,1)</f>
        <v>2.2999999999999998</v>
      </c>
      <c r="O79" s="815">
        <f>153*117/2080</f>
        <v>8.6062499999999993</v>
      </c>
      <c r="P79" s="815">
        <f>253*117/2080</f>
        <v>14.231249999999999</v>
      </c>
    </row>
    <row r="80" spans="1:16" ht="16.5">
      <c r="A80" s="809"/>
      <c r="B80" s="865"/>
      <c r="C80" s="814" t="s">
        <v>640</v>
      </c>
      <c r="D80" s="865" t="s">
        <v>592</v>
      </c>
      <c r="E80" s="878">
        <v>22</v>
      </c>
      <c r="F80" s="869">
        <f>L80</f>
        <v>22.2</v>
      </c>
      <c r="G80" s="869">
        <f>M80</f>
        <v>20.3</v>
      </c>
      <c r="H80" s="1369"/>
      <c r="I80" s="1369"/>
      <c r="J80" s="1369"/>
      <c r="K80" s="815" t="s">
        <v>645</v>
      </c>
      <c r="L80" s="823">
        <f>L78+L79</f>
        <v>22.2</v>
      </c>
      <c r="M80" s="823">
        <f>M78+M79</f>
        <v>20.3</v>
      </c>
      <c r="O80" s="815">
        <f>47+9</f>
        <v>56</v>
      </c>
      <c r="P80" s="815">
        <f>47+15</f>
        <v>62</v>
      </c>
    </row>
    <row r="81" spans="1:10" ht="16.5">
      <c r="A81" s="809"/>
      <c r="B81" s="865"/>
      <c r="C81" s="814" t="s">
        <v>601</v>
      </c>
      <c r="D81" s="865" t="s">
        <v>592</v>
      </c>
      <c r="E81" s="865">
        <v>238</v>
      </c>
      <c r="F81" s="865">
        <f>F78*3.5</f>
        <v>350</v>
      </c>
      <c r="G81" s="865">
        <f>G78*4</f>
        <v>320</v>
      </c>
      <c r="H81" s="1370"/>
      <c r="I81" s="1370"/>
      <c r="J81" s="1370"/>
    </row>
    <row r="82" spans="1:10" s="826" customFormat="1" ht="16.5">
      <c r="A82" s="825"/>
      <c r="B82" s="865"/>
      <c r="C82" s="863" t="s">
        <v>609</v>
      </c>
      <c r="D82" s="865"/>
      <c r="E82" s="865"/>
      <c r="F82" s="865"/>
      <c r="G82" s="865"/>
      <c r="H82" s="865"/>
      <c r="I82" s="865"/>
      <c r="J82" s="865"/>
    </row>
    <row r="83" spans="1:10" ht="16.5">
      <c r="A83" s="809"/>
      <c r="B83" s="865"/>
      <c r="C83" s="814" t="s">
        <v>37</v>
      </c>
      <c r="D83" s="865" t="s">
        <v>590</v>
      </c>
      <c r="E83" s="865">
        <f>E8+E16+E21+E28+E34+E42+E56+E63+E69+E77</f>
        <v>2250</v>
      </c>
      <c r="F83" s="865">
        <f>F8+F16+F21+F28+F34+F42+F56+F63+F69+F77</f>
        <v>2885</v>
      </c>
      <c r="G83" s="865">
        <f>G8+G16+G21+G28+G34+G42+G56+G63+G69+G77</f>
        <v>3565</v>
      </c>
      <c r="H83" s="1368">
        <f>H4+H8+H13+H16+H21+H28+H34+H42+H56+H63+H69+H76</f>
        <v>366</v>
      </c>
      <c r="I83" s="1368">
        <f t="shared" ref="I83:J83" si="11">I4+I8+I13+I16+I21+I28+I34+I42+I56+I63+I69+I76</f>
        <v>897</v>
      </c>
      <c r="J83" s="1368">
        <f t="shared" si="11"/>
        <v>957</v>
      </c>
    </row>
    <row r="84" spans="1:10" ht="16.5">
      <c r="A84" s="809"/>
      <c r="B84" s="865"/>
      <c r="C84" s="814" t="s">
        <v>599</v>
      </c>
      <c r="D84" s="865" t="s">
        <v>590</v>
      </c>
      <c r="E84" s="865">
        <f>E9+E17+E22+E29+E35+E43+E57+E64+E70+E78</f>
        <v>909</v>
      </c>
      <c r="F84" s="865">
        <f t="shared" ref="F84:G84" si="12">F9+F17+F22+F29+F35+F43+F57+F64+F70+F78</f>
        <v>1225</v>
      </c>
      <c r="G84" s="865">
        <f t="shared" si="12"/>
        <v>1470</v>
      </c>
      <c r="H84" s="1369"/>
      <c r="I84" s="1369"/>
      <c r="J84" s="1369"/>
    </row>
    <row r="85" spans="1:10" ht="16.5">
      <c r="A85" s="809"/>
      <c r="B85" s="865"/>
      <c r="C85" s="814" t="s">
        <v>40</v>
      </c>
      <c r="D85" s="865" t="s">
        <v>590</v>
      </c>
      <c r="E85" s="1031">
        <f>E4+E13+E23+E36+E44+E71</f>
        <v>249</v>
      </c>
      <c r="F85" s="1031">
        <f t="shared" ref="F85:G85" si="13">F4+F13+F23+F36+F44+F71</f>
        <v>125480</v>
      </c>
      <c r="G85" s="1031">
        <f t="shared" si="13"/>
        <v>125820</v>
      </c>
      <c r="H85" s="1369"/>
      <c r="I85" s="1369"/>
      <c r="J85" s="1369"/>
    </row>
    <row r="86" spans="1:10" ht="16.5">
      <c r="A86" s="809"/>
      <c r="B86" s="865"/>
      <c r="C86" s="814" t="s">
        <v>41</v>
      </c>
      <c r="D86" s="865" t="s">
        <v>590</v>
      </c>
      <c r="E86" s="865">
        <f>E24+E37+E45+E58+E72+E79</f>
        <v>218</v>
      </c>
      <c r="F86" s="865">
        <f t="shared" ref="F86:G86" si="14">F24+F37+F45+F58+F72+F79</f>
        <v>223</v>
      </c>
      <c r="G86" s="865">
        <f t="shared" si="14"/>
        <v>239</v>
      </c>
      <c r="H86" s="1369"/>
      <c r="I86" s="1369"/>
      <c r="J86" s="1369"/>
    </row>
    <row r="87" spans="1:10" ht="16.5">
      <c r="A87" s="809"/>
      <c r="B87" s="865"/>
      <c r="C87" s="814" t="s">
        <v>640</v>
      </c>
      <c r="D87" s="865" t="s">
        <v>592</v>
      </c>
      <c r="E87" s="1366" t="s">
        <v>648</v>
      </c>
      <c r="F87" s="1031">
        <f>F5+F10+F14+F18+F25+F30+F38+F46+F59+F65+F73+F80</f>
        <v>17754.200000000004</v>
      </c>
      <c r="G87" s="1031">
        <f>G5+G10+G14+G18+G25+G30+G38+G46+G59+G65+G73+G80</f>
        <v>20356.099999999999</v>
      </c>
      <c r="H87" s="1369"/>
      <c r="I87" s="1369"/>
      <c r="J87" s="1369"/>
    </row>
    <row r="88" spans="1:10" ht="16.5">
      <c r="A88" s="809"/>
      <c r="B88" s="865"/>
      <c r="C88" s="814" t="s">
        <v>601</v>
      </c>
      <c r="D88" s="865" t="s">
        <v>592</v>
      </c>
      <c r="E88" s="1367"/>
      <c r="F88" s="1031">
        <f>F11+F19+F26+F31+F39+F47+F60+F66+F74+F81</f>
        <v>4271.5</v>
      </c>
      <c r="G88" s="1031">
        <f>G11+G19+G26+G31+G39+G47+G60+G66+G74+G81</f>
        <v>5796.5</v>
      </c>
      <c r="H88" s="1369"/>
      <c r="I88" s="1369"/>
      <c r="J88" s="1369"/>
    </row>
    <row r="89" spans="1:10" ht="16.5">
      <c r="A89" s="809"/>
      <c r="B89" s="865"/>
      <c r="C89" s="814" t="s">
        <v>610</v>
      </c>
      <c r="D89" s="865" t="s">
        <v>86</v>
      </c>
      <c r="E89" s="865"/>
      <c r="F89" s="865"/>
      <c r="G89" s="865"/>
      <c r="H89" s="1370"/>
      <c r="I89" s="1370"/>
      <c r="J89" s="1370"/>
    </row>
  </sheetData>
  <mergeCells count="53">
    <mergeCell ref="H28:H31"/>
    <mergeCell ref="I28:I31"/>
    <mergeCell ref="J28:J31"/>
    <mergeCell ref="A1:A2"/>
    <mergeCell ref="C1:C2"/>
    <mergeCell ref="H8:H11"/>
    <mergeCell ref="I8:I11"/>
    <mergeCell ref="J8:J11"/>
    <mergeCell ref="H21:H26"/>
    <mergeCell ref="I21:I26"/>
    <mergeCell ref="J21:J26"/>
    <mergeCell ref="D1:D2"/>
    <mergeCell ref="E1:E2"/>
    <mergeCell ref="F1:F2"/>
    <mergeCell ref="H13:H14"/>
    <mergeCell ref="I13:I14"/>
    <mergeCell ref="J13:J14"/>
    <mergeCell ref="G1:G2"/>
    <mergeCell ref="H1:J1"/>
    <mergeCell ref="H16:H19"/>
    <mergeCell ref="I16:I19"/>
    <mergeCell ref="J16:J19"/>
    <mergeCell ref="H4:H5"/>
    <mergeCell ref="I4:I5"/>
    <mergeCell ref="J4:J5"/>
    <mergeCell ref="H34:H39"/>
    <mergeCell ref="I34:I39"/>
    <mergeCell ref="J34:J39"/>
    <mergeCell ref="H42:H47"/>
    <mergeCell ref="I42:I47"/>
    <mergeCell ref="J42:J47"/>
    <mergeCell ref="H49:H51"/>
    <mergeCell ref="I49:I51"/>
    <mergeCell ref="J49:J51"/>
    <mergeCell ref="H63:H66"/>
    <mergeCell ref="I63:I66"/>
    <mergeCell ref="J63:J66"/>
    <mergeCell ref="E87:E88"/>
    <mergeCell ref="H83:H89"/>
    <mergeCell ref="I83:I89"/>
    <mergeCell ref="J83:J89"/>
    <mergeCell ref="H53:H54"/>
    <mergeCell ref="I53:I54"/>
    <mergeCell ref="J53:J54"/>
    <mergeCell ref="H56:H60"/>
    <mergeCell ref="I56:I60"/>
    <mergeCell ref="J56:J60"/>
    <mergeCell ref="H69:H74"/>
    <mergeCell ref="I69:I74"/>
    <mergeCell ref="J69:J74"/>
    <mergeCell ref="H76:H81"/>
    <mergeCell ref="I76:I81"/>
    <mergeCell ref="J76:J81"/>
  </mergeCells>
  <pageMargins left="0.27559055118110237" right="0.27559055118110237" top="0.27559055118110237" bottom="0.31496062992125984" header="0.31496062992125984" footer="0.31496062992125984"/>
  <pageSetup paperSize="9" scale="85" orientation="portrait" verticalDpi="0" r:id="rId1"/>
  <rowBreaks count="1" manualBreakCount="1">
    <brk id="51" max="9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J200"/>
  <sheetViews>
    <sheetView topLeftCell="A10" workbookViewId="0">
      <selection activeCell="B20" sqref="B20"/>
    </sheetView>
  </sheetViews>
  <sheetFormatPr defaultRowHeight="15"/>
  <cols>
    <col min="1" max="1" width="4.28515625" style="815" customWidth="1"/>
    <col min="2" max="2" width="26.7109375" style="815" customWidth="1"/>
    <col min="3" max="3" width="6.5703125" style="815" customWidth="1"/>
    <col min="4" max="4" width="5.7109375" style="815" customWidth="1"/>
    <col min="5" max="7" width="9.140625" style="815"/>
    <col min="8" max="8" width="14.140625" style="815" customWidth="1"/>
    <col min="9" max="16384" width="9.140625" style="815"/>
  </cols>
  <sheetData>
    <row r="1" spans="1:10" ht="15.75" thickBot="1">
      <c r="A1" s="864"/>
      <c r="B1" s="864"/>
      <c r="C1" s="864"/>
      <c r="D1" s="864"/>
      <c r="E1" s="864"/>
      <c r="F1" s="864"/>
      <c r="G1" s="864"/>
      <c r="H1" s="864"/>
      <c r="I1" s="1393" t="s">
        <v>787</v>
      </c>
      <c r="J1" s="1393"/>
    </row>
    <row r="2" spans="1:10">
      <c r="A2" s="1383" t="s">
        <v>126</v>
      </c>
      <c r="B2" s="1389" t="s">
        <v>744</v>
      </c>
      <c r="C2" s="1396" t="s">
        <v>745</v>
      </c>
      <c r="D2" s="1398" t="s">
        <v>746</v>
      </c>
      <c r="E2" s="1398" t="s">
        <v>747</v>
      </c>
      <c r="F2" s="1401" t="s">
        <v>748</v>
      </c>
      <c r="G2" s="1402"/>
      <c r="H2" s="1402" t="s">
        <v>749</v>
      </c>
      <c r="I2" s="1406" t="s">
        <v>750</v>
      </c>
      <c r="J2" s="1408" t="s">
        <v>751</v>
      </c>
    </row>
    <row r="3" spans="1:10" ht="15.75" thickBot="1">
      <c r="A3" s="1394"/>
      <c r="B3" s="1395"/>
      <c r="C3" s="1397"/>
      <c r="D3" s="1399"/>
      <c r="E3" s="1400"/>
      <c r="F3" s="1403"/>
      <c r="G3" s="1404"/>
      <c r="H3" s="1405"/>
      <c r="I3" s="1407"/>
      <c r="J3" s="1394"/>
    </row>
    <row r="4" spans="1:10">
      <c r="A4" s="1394"/>
      <c r="B4" s="1395"/>
      <c r="C4" s="1397"/>
      <c r="D4" s="1399"/>
      <c r="E4" s="1400"/>
      <c r="F4" s="1383" t="s">
        <v>752</v>
      </c>
      <c r="G4" s="1383" t="s">
        <v>753</v>
      </c>
      <c r="H4" s="1405"/>
      <c r="I4" s="1407"/>
      <c r="J4" s="1394"/>
    </row>
    <row r="5" spans="1:10" ht="43.5" customHeight="1" thickBot="1">
      <c r="A5" s="1394"/>
      <c r="B5" s="1395"/>
      <c r="C5" s="1397"/>
      <c r="D5" s="1399"/>
      <c r="E5" s="1400"/>
      <c r="F5" s="1409"/>
      <c r="G5" s="1409"/>
      <c r="H5" s="1405"/>
      <c r="I5" s="1407"/>
      <c r="J5" s="1394"/>
    </row>
    <row r="6" spans="1:10" ht="15" customHeight="1" thickBot="1">
      <c r="A6" s="1391" t="s">
        <v>862</v>
      </c>
      <c r="B6" s="1392"/>
      <c r="C6" s="1392"/>
      <c r="D6" s="1392"/>
      <c r="E6" s="1392"/>
      <c r="F6" s="1392"/>
      <c r="G6" s="1392"/>
      <c r="H6" s="1392"/>
      <c r="I6" s="1392"/>
      <c r="J6" s="1382"/>
    </row>
    <row r="7" spans="1:10" ht="15" customHeight="1">
      <c r="A7" s="1383" t="s">
        <v>754</v>
      </c>
      <c r="B7" s="1385" t="s">
        <v>755</v>
      </c>
      <c r="C7" s="1387" t="s">
        <v>754</v>
      </c>
      <c r="D7" s="1383" t="s">
        <v>754</v>
      </c>
      <c r="E7" s="1383" t="s">
        <v>754</v>
      </c>
      <c r="F7" s="1011" t="s">
        <v>772</v>
      </c>
      <c r="G7" s="906" t="s">
        <v>773</v>
      </c>
      <c r="H7" s="1389" t="s">
        <v>754</v>
      </c>
      <c r="I7" s="1387" t="s">
        <v>754</v>
      </c>
      <c r="J7" s="1383" t="s">
        <v>754</v>
      </c>
    </row>
    <row r="8" spans="1:10" ht="15" customHeight="1" thickBot="1">
      <c r="A8" s="1384"/>
      <c r="B8" s="1386"/>
      <c r="C8" s="1388"/>
      <c r="D8" s="1384"/>
      <c r="E8" s="1384"/>
      <c r="F8" s="1009">
        <v>1679</v>
      </c>
      <c r="G8" s="908">
        <v>204</v>
      </c>
      <c r="H8" s="1390"/>
      <c r="I8" s="1388"/>
      <c r="J8" s="1384"/>
    </row>
    <row r="9" spans="1:10" ht="15" customHeight="1" thickBot="1">
      <c r="A9" s="909" t="s">
        <v>774</v>
      </c>
      <c r="B9" s="1010" t="s">
        <v>775</v>
      </c>
      <c r="C9" s="911">
        <v>1.5</v>
      </c>
      <c r="D9" s="1009">
        <v>365</v>
      </c>
      <c r="E9" s="912">
        <f t="shared" ref="E9:E14" si="0">C9*D9/100</f>
        <v>5.4749999999999996</v>
      </c>
      <c r="F9" s="1009">
        <v>547</v>
      </c>
      <c r="G9" s="908">
        <v>44.3</v>
      </c>
      <c r="H9" s="1032">
        <f>'Развитие жив-ва'!$F$4</f>
        <v>125000</v>
      </c>
      <c r="I9" s="889">
        <f t="shared" ref="I9:I14" si="1">C9*D9*H9/100</f>
        <v>684375</v>
      </c>
      <c r="J9" s="914">
        <f t="shared" ref="J9:J14" si="2">I9*1.1</f>
        <v>752812.50000000012</v>
      </c>
    </row>
    <row r="10" spans="1:10" ht="15" customHeight="1" thickBot="1">
      <c r="A10" s="909" t="s">
        <v>776</v>
      </c>
      <c r="B10" s="1010" t="s">
        <v>777</v>
      </c>
      <c r="C10" s="911">
        <v>0.5</v>
      </c>
      <c r="D10" s="1009">
        <v>365</v>
      </c>
      <c r="E10" s="912">
        <f t="shared" si="0"/>
        <v>1.825</v>
      </c>
      <c r="F10" s="1009">
        <v>130</v>
      </c>
      <c r="G10" s="908">
        <v>30</v>
      </c>
      <c r="H10" s="1032">
        <f>'Развитие жив-ва'!$F$4</f>
        <v>125000</v>
      </c>
      <c r="I10" s="889">
        <f t="shared" si="1"/>
        <v>228125</v>
      </c>
      <c r="J10" s="914">
        <f t="shared" si="2"/>
        <v>250937.50000000003</v>
      </c>
    </row>
    <row r="11" spans="1:10" ht="15" customHeight="1" thickBot="1">
      <c r="A11" s="909" t="s">
        <v>778</v>
      </c>
      <c r="B11" s="1010" t="s">
        <v>779</v>
      </c>
      <c r="C11" s="911">
        <v>0.4</v>
      </c>
      <c r="D11" s="1009">
        <v>365</v>
      </c>
      <c r="E11" s="912">
        <f t="shared" si="0"/>
        <v>1.46</v>
      </c>
      <c r="F11" s="1009">
        <v>153</v>
      </c>
      <c r="G11" s="908">
        <v>54</v>
      </c>
      <c r="H11" s="1032">
        <f>'Развитие жив-ва'!$F$4</f>
        <v>125000</v>
      </c>
      <c r="I11" s="889">
        <f t="shared" si="1"/>
        <v>182500</v>
      </c>
      <c r="J11" s="914">
        <f t="shared" si="2"/>
        <v>200750.00000000003</v>
      </c>
    </row>
    <row r="12" spans="1:10" ht="15" customHeight="1" thickBot="1">
      <c r="A12" s="909" t="s">
        <v>780</v>
      </c>
      <c r="B12" s="1010" t="s">
        <v>781</v>
      </c>
      <c r="C12" s="911">
        <v>0.2</v>
      </c>
      <c r="D12" s="1009">
        <v>365</v>
      </c>
      <c r="E12" s="912">
        <f t="shared" si="0"/>
        <v>0.73</v>
      </c>
      <c r="F12" s="1009">
        <v>85.4</v>
      </c>
      <c r="G12" s="908">
        <v>14.2</v>
      </c>
      <c r="H12" s="1032">
        <f>'Развитие жив-ва'!$F$4</f>
        <v>125000</v>
      </c>
      <c r="I12" s="889">
        <f t="shared" si="1"/>
        <v>91250</v>
      </c>
      <c r="J12" s="914">
        <f t="shared" si="2"/>
        <v>100375.00000000001</v>
      </c>
    </row>
    <row r="13" spans="1:10" ht="15" customHeight="1" thickBot="1">
      <c r="A13" s="909" t="s">
        <v>782</v>
      </c>
      <c r="B13" s="1010" t="s">
        <v>783</v>
      </c>
      <c r="C13" s="911">
        <v>5</v>
      </c>
      <c r="D13" s="1009">
        <v>365</v>
      </c>
      <c r="E13" s="912">
        <f t="shared" si="0"/>
        <v>18.25</v>
      </c>
      <c r="F13" s="1009">
        <v>548</v>
      </c>
      <c r="G13" s="908">
        <v>29.2</v>
      </c>
      <c r="H13" s="1032">
        <f>'Развитие жив-ва'!$F$4</f>
        <v>125000</v>
      </c>
      <c r="I13" s="889">
        <f t="shared" si="1"/>
        <v>2281250</v>
      </c>
      <c r="J13" s="914">
        <f t="shared" si="2"/>
        <v>2509375</v>
      </c>
    </row>
    <row r="14" spans="1:10" ht="15" customHeight="1" thickBot="1">
      <c r="A14" s="915" t="s">
        <v>784</v>
      </c>
      <c r="B14" s="916" t="s">
        <v>785</v>
      </c>
      <c r="C14" s="917">
        <v>0.5</v>
      </c>
      <c r="D14" s="915">
        <v>365</v>
      </c>
      <c r="E14" s="912">
        <f t="shared" si="0"/>
        <v>1.825</v>
      </c>
      <c r="F14" s="915">
        <v>124</v>
      </c>
      <c r="G14" s="918">
        <v>22.4</v>
      </c>
      <c r="H14" s="1032">
        <f>'Развитие жив-ва'!$F$4</f>
        <v>125000</v>
      </c>
      <c r="I14" s="889">
        <f t="shared" si="1"/>
        <v>228125</v>
      </c>
      <c r="J14" s="914">
        <f t="shared" si="2"/>
        <v>250937.50000000003</v>
      </c>
    </row>
    <row r="15" spans="1:10" ht="15" customHeight="1" thickBot="1">
      <c r="A15" s="919"/>
      <c r="B15" s="920" t="s">
        <v>764</v>
      </c>
      <c r="C15" s="921"/>
      <c r="D15" s="919"/>
      <c r="E15" s="921"/>
      <c r="F15" s="1009">
        <f>SUM(F9:F14)</f>
        <v>1587.4</v>
      </c>
      <c r="G15" s="1009">
        <f>SUM(G9:G14)</f>
        <v>194.1</v>
      </c>
      <c r="H15" s="922"/>
      <c r="I15" s="921"/>
      <c r="J15" s="919"/>
    </row>
    <row r="16" spans="1:10" ht="15.75" customHeight="1" thickBot="1">
      <c r="A16" s="1378" t="s">
        <v>786</v>
      </c>
      <c r="B16" s="1379"/>
      <c r="C16" s="1379"/>
      <c r="D16" s="1379"/>
      <c r="E16" s="1379"/>
      <c r="F16" s="1379"/>
      <c r="G16" s="1379"/>
      <c r="H16" s="1379"/>
      <c r="I16" s="1379"/>
      <c r="J16" s="1380"/>
    </row>
    <row r="17" spans="1:10" ht="24" thickBot="1">
      <c r="A17" s="880" t="s">
        <v>754</v>
      </c>
      <c r="B17" s="881" t="s">
        <v>755</v>
      </c>
      <c r="C17" s="882" t="s">
        <v>754</v>
      </c>
      <c r="D17" s="883" t="s">
        <v>754</v>
      </c>
      <c r="E17" s="882" t="s">
        <v>754</v>
      </c>
      <c r="F17" s="883" t="s">
        <v>756</v>
      </c>
      <c r="G17" s="884" t="s">
        <v>757</v>
      </c>
      <c r="H17" s="885" t="s">
        <v>754</v>
      </c>
      <c r="I17" s="886" t="s">
        <v>754</v>
      </c>
      <c r="J17" s="883" t="s">
        <v>754</v>
      </c>
    </row>
    <row r="18" spans="1:10" ht="15.75" thickBot="1">
      <c r="A18" s="887">
        <v>1</v>
      </c>
      <c r="B18" s="881" t="s">
        <v>758</v>
      </c>
      <c r="C18" s="882">
        <v>4</v>
      </c>
      <c r="D18" s="883">
        <v>210</v>
      </c>
      <c r="E18" s="882">
        <v>8.4</v>
      </c>
      <c r="F18" s="883">
        <v>389</v>
      </c>
      <c r="G18" s="884">
        <v>43.8</v>
      </c>
      <c r="H18" s="888">
        <f>'Развитие жив-ва'!$F$8</f>
        <v>250</v>
      </c>
      <c r="I18" s="889">
        <f>C18*D18*H18/100</f>
        <v>2100</v>
      </c>
      <c r="J18" s="890">
        <f t="shared" ref="J18:J23" si="3">I18*1.1</f>
        <v>2310</v>
      </c>
    </row>
    <row r="19" spans="1:10" ht="15.75" thickBot="1">
      <c r="A19" s="887">
        <v>2</v>
      </c>
      <c r="B19" s="881" t="s">
        <v>759</v>
      </c>
      <c r="C19" s="882">
        <v>2</v>
      </c>
      <c r="D19" s="883">
        <v>210</v>
      </c>
      <c r="E19" s="882">
        <v>4.2</v>
      </c>
      <c r="F19" s="883">
        <v>92</v>
      </c>
      <c r="G19" s="884">
        <v>4.2</v>
      </c>
      <c r="H19" s="888">
        <f>'Развитие жив-ва'!$F$8</f>
        <v>250</v>
      </c>
      <c r="I19" s="889">
        <f>C19*D19*H19/100</f>
        <v>1050</v>
      </c>
      <c r="J19" s="890">
        <f t="shared" si="3"/>
        <v>1155</v>
      </c>
    </row>
    <row r="20" spans="1:10" ht="15.75" thickBot="1">
      <c r="A20" s="887">
        <v>3</v>
      </c>
      <c r="B20" s="881" t="s">
        <v>760</v>
      </c>
      <c r="C20" s="882">
        <v>25</v>
      </c>
      <c r="D20" s="883">
        <v>240</v>
      </c>
      <c r="E20" s="882">
        <v>60</v>
      </c>
      <c r="F20" s="883">
        <v>1080</v>
      </c>
      <c r="G20" s="884">
        <v>108</v>
      </c>
      <c r="H20" s="888">
        <f>'Развитие жив-ва'!$F$8</f>
        <v>250</v>
      </c>
      <c r="I20" s="889">
        <f>C20*D20*H20/100</f>
        <v>15000</v>
      </c>
      <c r="J20" s="890">
        <f t="shared" si="3"/>
        <v>16500</v>
      </c>
    </row>
    <row r="21" spans="1:10" ht="15.75" thickBot="1">
      <c r="A21" s="887">
        <v>4</v>
      </c>
      <c r="B21" s="881" t="s">
        <v>761</v>
      </c>
      <c r="C21" s="882">
        <v>5</v>
      </c>
      <c r="D21" s="883">
        <v>200</v>
      </c>
      <c r="E21" s="882">
        <v>10</v>
      </c>
      <c r="F21" s="883">
        <v>120</v>
      </c>
      <c r="G21" s="884">
        <v>9</v>
      </c>
      <c r="H21" s="888">
        <f>'Развитие жив-ва'!$F$8</f>
        <v>250</v>
      </c>
      <c r="I21" s="889">
        <f>C21*D21*H21/100</f>
        <v>2500</v>
      </c>
      <c r="J21" s="890">
        <f t="shared" si="3"/>
        <v>2750</v>
      </c>
    </row>
    <row r="22" spans="1:10" ht="15.75" thickBot="1">
      <c r="A22" s="887">
        <v>5</v>
      </c>
      <c r="B22" s="881" t="s">
        <v>762</v>
      </c>
      <c r="C22" s="882">
        <v>40</v>
      </c>
      <c r="D22" s="883">
        <v>155</v>
      </c>
      <c r="E22" s="882">
        <v>62</v>
      </c>
      <c r="F22" s="883">
        <v>1116</v>
      </c>
      <c r="G22" s="884">
        <v>111.6</v>
      </c>
      <c r="H22" s="888">
        <f>'Развитие жив-ва'!$F$8</f>
        <v>250</v>
      </c>
      <c r="I22" s="889">
        <f>C22*D22*H22/100</f>
        <v>15500</v>
      </c>
      <c r="J22" s="890">
        <f t="shared" si="3"/>
        <v>17050</v>
      </c>
    </row>
    <row r="23" spans="1:10" ht="24" thickBot="1">
      <c r="A23" s="891">
        <v>6</v>
      </c>
      <c r="B23" s="892" t="s">
        <v>763</v>
      </c>
      <c r="C23" s="879" t="s">
        <v>754</v>
      </c>
      <c r="D23" s="893" t="s">
        <v>754</v>
      </c>
      <c r="E23" s="879">
        <v>6</v>
      </c>
      <c r="F23" s="893">
        <v>558</v>
      </c>
      <c r="G23" s="894">
        <v>84</v>
      </c>
      <c r="H23" s="888">
        <f>'Развитие жив-ва'!$F$8</f>
        <v>250</v>
      </c>
      <c r="I23" s="895">
        <f>E23*H23</f>
        <v>1500</v>
      </c>
      <c r="J23" s="896">
        <f t="shared" si="3"/>
        <v>1650.0000000000002</v>
      </c>
    </row>
    <row r="24" spans="1:10" ht="15.75" thickBot="1">
      <c r="A24" s="897"/>
      <c r="B24" s="898" t="s">
        <v>764</v>
      </c>
      <c r="C24" s="899"/>
      <c r="D24" s="900"/>
      <c r="E24" s="899"/>
      <c r="F24" s="901">
        <v>3355</v>
      </c>
      <c r="G24" s="902">
        <v>360.6</v>
      </c>
      <c r="H24" s="903" t="s">
        <v>754</v>
      </c>
      <c r="I24" s="903"/>
      <c r="J24" s="904"/>
    </row>
    <row r="25" spans="1:10" ht="15.75" thickBot="1">
      <c r="A25" s="1391" t="s">
        <v>788</v>
      </c>
      <c r="B25" s="1392"/>
      <c r="C25" s="1392"/>
      <c r="D25" s="1392"/>
      <c r="E25" s="1392"/>
      <c r="F25" s="1392"/>
      <c r="G25" s="1392"/>
      <c r="H25" s="1392"/>
      <c r="I25" s="1392"/>
      <c r="J25" s="1382"/>
    </row>
    <row r="26" spans="1:10">
      <c r="A26" s="1383" t="s">
        <v>754</v>
      </c>
      <c r="B26" s="1385" t="s">
        <v>755</v>
      </c>
      <c r="C26" s="1387" t="s">
        <v>754</v>
      </c>
      <c r="D26" s="1383" t="s">
        <v>754</v>
      </c>
      <c r="E26" s="1383" t="s">
        <v>754</v>
      </c>
      <c r="F26" s="905" t="s">
        <v>772</v>
      </c>
      <c r="G26" s="906" t="s">
        <v>773</v>
      </c>
      <c r="H26" s="1389" t="s">
        <v>754</v>
      </c>
      <c r="I26" s="1387" t="s">
        <v>754</v>
      </c>
      <c r="J26" s="1383" t="s">
        <v>754</v>
      </c>
    </row>
    <row r="27" spans="1:10" ht="15.75" thickBot="1">
      <c r="A27" s="1384"/>
      <c r="B27" s="1386"/>
      <c r="C27" s="1388"/>
      <c r="D27" s="1384"/>
      <c r="E27" s="1384"/>
      <c r="F27" s="907">
        <v>1679</v>
      </c>
      <c r="G27" s="908">
        <v>204</v>
      </c>
      <c r="H27" s="1390"/>
      <c r="I27" s="1388"/>
      <c r="J27" s="1384"/>
    </row>
    <row r="28" spans="1:10" ht="15.75" thickBot="1">
      <c r="A28" s="909" t="s">
        <v>774</v>
      </c>
      <c r="B28" s="910" t="s">
        <v>775</v>
      </c>
      <c r="C28" s="911">
        <v>1.5</v>
      </c>
      <c r="D28" s="907">
        <v>365</v>
      </c>
      <c r="E28" s="912">
        <f t="shared" ref="E28:E33" si="4">C28*D28/100</f>
        <v>5.4749999999999996</v>
      </c>
      <c r="F28" s="907">
        <v>547</v>
      </c>
      <c r="G28" s="908">
        <v>44.3</v>
      </c>
      <c r="H28" s="913">
        <f>'Развитие жив-ва'!$F$13</f>
        <v>200</v>
      </c>
      <c r="I28" s="889">
        <f t="shared" ref="I28:I33" si="5">C28*D28*H28/100</f>
        <v>1095</v>
      </c>
      <c r="J28" s="914">
        <f t="shared" ref="J28:J33" si="6">I28*1.1</f>
        <v>1204.5</v>
      </c>
    </row>
    <row r="29" spans="1:10" ht="15.75" thickBot="1">
      <c r="A29" s="909" t="s">
        <v>776</v>
      </c>
      <c r="B29" s="910" t="s">
        <v>777</v>
      </c>
      <c r="C29" s="911">
        <v>0.5</v>
      </c>
      <c r="D29" s="907">
        <v>365</v>
      </c>
      <c r="E29" s="912">
        <f t="shared" si="4"/>
        <v>1.825</v>
      </c>
      <c r="F29" s="907">
        <v>130</v>
      </c>
      <c r="G29" s="908">
        <v>30</v>
      </c>
      <c r="H29" s="913">
        <f>'Развитие жив-ва'!$F$13</f>
        <v>200</v>
      </c>
      <c r="I29" s="889">
        <f t="shared" si="5"/>
        <v>365</v>
      </c>
      <c r="J29" s="914">
        <f t="shared" si="6"/>
        <v>401.50000000000006</v>
      </c>
    </row>
    <row r="30" spans="1:10" ht="15.75" thickBot="1">
      <c r="A30" s="909" t="s">
        <v>778</v>
      </c>
      <c r="B30" s="910" t="s">
        <v>779</v>
      </c>
      <c r="C30" s="911">
        <v>0.4</v>
      </c>
      <c r="D30" s="907">
        <v>365</v>
      </c>
      <c r="E30" s="912">
        <f t="shared" si="4"/>
        <v>1.46</v>
      </c>
      <c r="F30" s="907">
        <v>153</v>
      </c>
      <c r="G30" s="908">
        <v>54</v>
      </c>
      <c r="H30" s="913">
        <f>'Развитие жив-ва'!$F$13</f>
        <v>200</v>
      </c>
      <c r="I30" s="889">
        <f t="shared" si="5"/>
        <v>292</v>
      </c>
      <c r="J30" s="914">
        <f t="shared" si="6"/>
        <v>321.20000000000005</v>
      </c>
    </row>
    <row r="31" spans="1:10" ht="15.75" thickBot="1">
      <c r="A31" s="909" t="s">
        <v>780</v>
      </c>
      <c r="B31" s="910" t="s">
        <v>781</v>
      </c>
      <c r="C31" s="911">
        <v>0.2</v>
      </c>
      <c r="D31" s="907">
        <v>365</v>
      </c>
      <c r="E31" s="912">
        <f t="shared" si="4"/>
        <v>0.73</v>
      </c>
      <c r="F31" s="907">
        <v>85.4</v>
      </c>
      <c r="G31" s="908">
        <v>14.2</v>
      </c>
      <c r="H31" s="913">
        <f>'Развитие жив-ва'!$F$13</f>
        <v>200</v>
      </c>
      <c r="I31" s="889">
        <f t="shared" si="5"/>
        <v>146</v>
      </c>
      <c r="J31" s="914">
        <f t="shared" si="6"/>
        <v>160.60000000000002</v>
      </c>
    </row>
    <row r="32" spans="1:10" ht="15.75" thickBot="1">
      <c r="A32" s="909" t="s">
        <v>782</v>
      </c>
      <c r="B32" s="910" t="s">
        <v>783</v>
      </c>
      <c r="C32" s="911">
        <v>5</v>
      </c>
      <c r="D32" s="907">
        <v>365</v>
      </c>
      <c r="E32" s="912">
        <f t="shared" si="4"/>
        <v>18.25</v>
      </c>
      <c r="F32" s="907">
        <v>548</v>
      </c>
      <c r="G32" s="908">
        <v>29.2</v>
      </c>
      <c r="H32" s="913">
        <f>'Развитие жив-ва'!$F$13</f>
        <v>200</v>
      </c>
      <c r="I32" s="889">
        <f t="shared" si="5"/>
        <v>3650</v>
      </c>
      <c r="J32" s="914">
        <f t="shared" si="6"/>
        <v>4015.0000000000005</v>
      </c>
    </row>
    <row r="33" spans="1:10" ht="15.75" thickBot="1">
      <c r="A33" s="915" t="s">
        <v>784</v>
      </c>
      <c r="B33" s="916" t="s">
        <v>785</v>
      </c>
      <c r="C33" s="917">
        <v>0.5</v>
      </c>
      <c r="D33" s="915">
        <v>365</v>
      </c>
      <c r="E33" s="912">
        <f t="shared" si="4"/>
        <v>1.825</v>
      </c>
      <c r="F33" s="915">
        <v>124</v>
      </c>
      <c r="G33" s="918">
        <v>22.4</v>
      </c>
      <c r="H33" s="913">
        <f>'Развитие жив-ва'!$F$13</f>
        <v>200</v>
      </c>
      <c r="I33" s="889">
        <f t="shared" si="5"/>
        <v>365</v>
      </c>
      <c r="J33" s="914">
        <f t="shared" si="6"/>
        <v>401.50000000000006</v>
      </c>
    </row>
    <row r="34" spans="1:10" ht="15.75" thickBot="1">
      <c r="A34" s="919"/>
      <c r="B34" s="920" t="s">
        <v>764</v>
      </c>
      <c r="C34" s="921"/>
      <c r="D34" s="919"/>
      <c r="E34" s="921"/>
      <c r="F34" s="907">
        <f>SUM(F28:F33)</f>
        <v>1587.4</v>
      </c>
      <c r="G34" s="907">
        <f>SUM(G28:G33)</f>
        <v>194.1</v>
      </c>
      <c r="H34" s="922"/>
      <c r="I34" s="921"/>
      <c r="J34" s="919"/>
    </row>
    <row r="35" spans="1:10" ht="15.75" customHeight="1" thickBot="1">
      <c r="A35" s="1391" t="s">
        <v>789</v>
      </c>
      <c r="B35" s="1410"/>
      <c r="C35" s="1410"/>
      <c r="D35" s="1410"/>
      <c r="E35" s="1410"/>
      <c r="F35" s="1410"/>
      <c r="G35" s="1410"/>
      <c r="H35" s="1410"/>
      <c r="I35" s="1410"/>
      <c r="J35" s="1411"/>
    </row>
    <row r="36" spans="1:10" ht="24" thickBot="1">
      <c r="A36" s="887" t="s">
        <v>754</v>
      </c>
      <c r="B36" s="923" t="s">
        <v>755</v>
      </c>
      <c r="C36" s="924" t="s">
        <v>754</v>
      </c>
      <c r="D36" s="901" t="s">
        <v>754</v>
      </c>
      <c r="E36" s="924" t="s">
        <v>754</v>
      </c>
      <c r="F36" s="901" t="s">
        <v>756</v>
      </c>
      <c r="G36" s="902" t="s">
        <v>757</v>
      </c>
      <c r="H36" s="925" t="s">
        <v>754</v>
      </c>
      <c r="I36" s="926" t="s">
        <v>754</v>
      </c>
      <c r="J36" s="901" t="s">
        <v>754</v>
      </c>
    </row>
    <row r="37" spans="1:10" ht="15.75" thickBot="1">
      <c r="A37" s="887">
        <v>1</v>
      </c>
      <c r="B37" s="881" t="s">
        <v>758</v>
      </c>
      <c r="C37" s="882">
        <v>4</v>
      </c>
      <c r="D37" s="883">
        <v>210</v>
      </c>
      <c r="E37" s="882">
        <v>8.4</v>
      </c>
      <c r="F37" s="883">
        <v>389</v>
      </c>
      <c r="G37" s="884">
        <v>43.8</v>
      </c>
      <c r="H37" s="888">
        <f>'Развитие жив-ва'!$F$16</f>
        <v>140</v>
      </c>
      <c r="I37" s="889">
        <f>C37*D37*H37/100</f>
        <v>1176</v>
      </c>
      <c r="J37" s="890">
        <f t="shared" ref="J37:J42" si="7">I37*1.1</f>
        <v>1293.6000000000001</v>
      </c>
    </row>
    <row r="38" spans="1:10" ht="15.75" thickBot="1">
      <c r="A38" s="887">
        <v>2</v>
      </c>
      <c r="B38" s="881" t="s">
        <v>759</v>
      </c>
      <c r="C38" s="882">
        <v>2</v>
      </c>
      <c r="D38" s="883">
        <v>210</v>
      </c>
      <c r="E38" s="882">
        <v>4.2</v>
      </c>
      <c r="F38" s="883">
        <v>92</v>
      </c>
      <c r="G38" s="884">
        <v>4.2</v>
      </c>
      <c r="H38" s="888">
        <f>'Развитие жив-ва'!$F$16</f>
        <v>140</v>
      </c>
      <c r="I38" s="889">
        <f>C38*D38*H38/100</f>
        <v>588</v>
      </c>
      <c r="J38" s="890">
        <f t="shared" si="7"/>
        <v>646.80000000000007</v>
      </c>
    </row>
    <row r="39" spans="1:10" ht="15.75" thickBot="1">
      <c r="A39" s="887">
        <v>3</v>
      </c>
      <c r="B39" s="881" t="s">
        <v>760</v>
      </c>
      <c r="C39" s="882">
        <v>25</v>
      </c>
      <c r="D39" s="883">
        <v>240</v>
      </c>
      <c r="E39" s="882">
        <v>60</v>
      </c>
      <c r="F39" s="883">
        <v>1080</v>
      </c>
      <c r="G39" s="884">
        <v>108</v>
      </c>
      <c r="H39" s="888">
        <f>'Развитие жив-ва'!$F$16</f>
        <v>140</v>
      </c>
      <c r="I39" s="889">
        <f>C39*D39*H39/100</f>
        <v>8400</v>
      </c>
      <c r="J39" s="890">
        <f t="shared" si="7"/>
        <v>9240</v>
      </c>
    </row>
    <row r="40" spans="1:10" ht="15.75" thickBot="1">
      <c r="A40" s="887">
        <v>4</v>
      </c>
      <c r="B40" s="881" t="s">
        <v>761</v>
      </c>
      <c r="C40" s="882">
        <v>5</v>
      </c>
      <c r="D40" s="883">
        <v>200</v>
      </c>
      <c r="E40" s="882">
        <v>10</v>
      </c>
      <c r="F40" s="883">
        <v>120</v>
      </c>
      <c r="G40" s="884">
        <v>9</v>
      </c>
      <c r="H40" s="888">
        <f>'Развитие жив-ва'!$F$16</f>
        <v>140</v>
      </c>
      <c r="I40" s="889">
        <f>C40*D40*H40/100</f>
        <v>1400</v>
      </c>
      <c r="J40" s="890">
        <f t="shared" si="7"/>
        <v>1540.0000000000002</v>
      </c>
    </row>
    <row r="41" spans="1:10" ht="15.75" thickBot="1">
      <c r="A41" s="887">
        <v>5</v>
      </c>
      <c r="B41" s="881" t="s">
        <v>762</v>
      </c>
      <c r="C41" s="882">
        <v>40</v>
      </c>
      <c r="D41" s="883">
        <v>155</v>
      </c>
      <c r="E41" s="882">
        <v>62</v>
      </c>
      <c r="F41" s="883">
        <v>1116</v>
      </c>
      <c r="G41" s="884">
        <v>111.6</v>
      </c>
      <c r="H41" s="888">
        <f>'Развитие жив-ва'!$F$16</f>
        <v>140</v>
      </c>
      <c r="I41" s="889">
        <f>C41*D41*H41/100</f>
        <v>8680</v>
      </c>
      <c r="J41" s="890">
        <f t="shared" si="7"/>
        <v>9548</v>
      </c>
    </row>
    <row r="42" spans="1:10" ht="24" thickBot="1">
      <c r="A42" s="891">
        <v>6</v>
      </c>
      <c r="B42" s="892" t="s">
        <v>763</v>
      </c>
      <c r="C42" s="879" t="s">
        <v>754</v>
      </c>
      <c r="D42" s="893" t="s">
        <v>754</v>
      </c>
      <c r="E42" s="879">
        <v>6</v>
      </c>
      <c r="F42" s="893">
        <v>558</v>
      </c>
      <c r="G42" s="894">
        <v>84</v>
      </c>
      <c r="H42" s="888">
        <f>'Развитие жив-ва'!$F$16</f>
        <v>140</v>
      </c>
      <c r="I42" s="895">
        <f>E42*H42</f>
        <v>840</v>
      </c>
      <c r="J42" s="896">
        <f t="shared" si="7"/>
        <v>924.00000000000011</v>
      </c>
    </row>
    <row r="43" spans="1:10" ht="15.75" thickBot="1">
      <c r="A43" s="897"/>
      <c r="B43" s="898" t="s">
        <v>764</v>
      </c>
      <c r="C43" s="899"/>
      <c r="D43" s="900"/>
      <c r="E43" s="899"/>
      <c r="F43" s="901">
        <v>3355</v>
      </c>
      <c r="G43" s="902">
        <v>360.6</v>
      </c>
      <c r="H43" s="927" t="s">
        <v>754</v>
      </c>
      <c r="I43" s="903"/>
      <c r="J43" s="904"/>
    </row>
    <row r="44" spans="1:10" ht="15.75" thickBot="1">
      <c r="A44" s="1412" t="s">
        <v>790</v>
      </c>
      <c r="B44" s="1413"/>
      <c r="C44" s="1413"/>
      <c r="D44" s="1413"/>
      <c r="E44" s="1413"/>
      <c r="F44" s="1413"/>
      <c r="G44" s="1413"/>
      <c r="H44" s="1413"/>
      <c r="I44" s="1413"/>
      <c r="J44" s="1414"/>
    </row>
    <row r="45" spans="1:10" ht="24" thickBot="1">
      <c r="A45" s="887" t="s">
        <v>754</v>
      </c>
      <c r="B45" s="923" t="s">
        <v>755</v>
      </c>
      <c r="C45" s="924" t="s">
        <v>754</v>
      </c>
      <c r="D45" s="901" t="s">
        <v>754</v>
      </c>
      <c r="E45" s="924" t="s">
        <v>754</v>
      </c>
      <c r="F45" s="901" t="s">
        <v>756</v>
      </c>
      <c r="G45" s="902" t="s">
        <v>757</v>
      </c>
      <c r="H45" s="925" t="s">
        <v>754</v>
      </c>
      <c r="I45" s="926" t="s">
        <v>754</v>
      </c>
      <c r="J45" s="901" t="s">
        <v>754</v>
      </c>
    </row>
    <row r="46" spans="1:10" ht="15.75" thickBot="1">
      <c r="A46" s="887">
        <v>1</v>
      </c>
      <c r="B46" s="881" t="s">
        <v>758</v>
      </c>
      <c r="C46" s="882">
        <v>4</v>
      </c>
      <c r="D46" s="883">
        <v>210</v>
      </c>
      <c r="E46" s="882">
        <v>8.4</v>
      </c>
      <c r="F46" s="883">
        <v>389</v>
      </c>
      <c r="G46" s="884">
        <v>43.8</v>
      </c>
      <c r="H46" s="888">
        <f>'Развитие жив-ва'!$F$21</f>
        <v>70</v>
      </c>
      <c r="I46" s="889">
        <f>C46*D46*H46/100</f>
        <v>588</v>
      </c>
      <c r="J46" s="890">
        <f t="shared" ref="J46:J51" si="8">I46*1.1</f>
        <v>646.80000000000007</v>
      </c>
    </row>
    <row r="47" spans="1:10" ht="15.75" thickBot="1">
      <c r="A47" s="887">
        <v>2</v>
      </c>
      <c r="B47" s="881" t="s">
        <v>759</v>
      </c>
      <c r="C47" s="882">
        <v>2</v>
      </c>
      <c r="D47" s="883">
        <v>210</v>
      </c>
      <c r="E47" s="882">
        <v>4.2</v>
      </c>
      <c r="F47" s="883">
        <v>92</v>
      </c>
      <c r="G47" s="884">
        <v>4.2</v>
      </c>
      <c r="H47" s="888">
        <f>'Развитие жив-ва'!$F$21</f>
        <v>70</v>
      </c>
      <c r="I47" s="889">
        <f>C47*D47*H47/100</f>
        <v>294</v>
      </c>
      <c r="J47" s="890">
        <f t="shared" si="8"/>
        <v>323.40000000000003</v>
      </c>
    </row>
    <row r="48" spans="1:10" ht="15.75" thickBot="1">
      <c r="A48" s="887">
        <v>3</v>
      </c>
      <c r="B48" s="881" t="s">
        <v>760</v>
      </c>
      <c r="C48" s="882">
        <v>25</v>
      </c>
      <c r="D48" s="883">
        <v>240</v>
      </c>
      <c r="E48" s="882">
        <v>60</v>
      </c>
      <c r="F48" s="883">
        <v>1080</v>
      </c>
      <c r="G48" s="884">
        <v>108</v>
      </c>
      <c r="H48" s="888">
        <f>'Развитие жив-ва'!$F$21</f>
        <v>70</v>
      </c>
      <c r="I48" s="889">
        <f>C48*D48*H48/100</f>
        <v>4200</v>
      </c>
      <c r="J48" s="890">
        <f t="shared" si="8"/>
        <v>4620</v>
      </c>
    </row>
    <row r="49" spans="1:10" ht="15.75" thickBot="1">
      <c r="A49" s="887">
        <v>4</v>
      </c>
      <c r="B49" s="881" t="s">
        <v>761</v>
      </c>
      <c r="C49" s="882">
        <v>5</v>
      </c>
      <c r="D49" s="883">
        <v>200</v>
      </c>
      <c r="E49" s="882">
        <v>10</v>
      </c>
      <c r="F49" s="883">
        <v>120</v>
      </c>
      <c r="G49" s="884">
        <v>9</v>
      </c>
      <c r="H49" s="888">
        <f>'Развитие жив-ва'!$F$21</f>
        <v>70</v>
      </c>
      <c r="I49" s="889">
        <f>C49*D49*H49/100</f>
        <v>700</v>
      </c>
      <c r="J49" s="890">
        <f t="shared" si="8"/>
        <v>770.00000000000011</v>
      </c>
    </row>
    <row r="50" spans="1:10" ht="15.75" thickBot="1">
      <c r="A50" s="887">
        <v>5</v>
      </c>
      <c r="B50" s="881" t="s">
        <v>762</v>
      </c>
      <c r="C50" s="882">
        <v>40</v>
      </c>
      <c r="D50" s="883">
        <v>155</v>
      </c>
      <c r="E50" s="882">
        <v>62</v>
      </c>
      <c r="F50" s="883">
        <v>1116</v>
      </c>
      <c r="G50" s="884">
        <v>111.6</v>
      </c>
      <c r="H50" s="888">
        <f>'Развитие жив-ва'!$F$21</f>
        <v>70</v>
      </c>
      <c r="I50" s="889">
        <f>C50*D50*H50/100</f>
        <v>4340</v>
      </c>
      <c r="J50" s="890">
        <f t="shared" si="8"/>
        <v>4774</v>
      </c>
    </row>
    <row r="51" spans="1:10" ht="24" thickBot="1">
      <c r="A51" s="891">
        <v>6</v>
      </c>
      <c r="B51" s="892" t="s">
        <v>763</v>
      </c>
      <c r="C51" s="879" t="s">
        <v>754</v>
      </c>
      <c r="D51" s="893" t="s">
        <v>754</v>
      </c>
      <c r="E51" s="879">
        <v>6</v>
      </c>
      <c r="F51" s="893">
        <v>558</v>
      </c>
      <c r="G51" s="894">
        <v>84</v>
      </c>
      <c r="H51" s="888">
        <f>'Развитие жив-ва'!$F$21</f>
        <v>70</v>
      </c>
      <c r="I51" s="895">
        <f>E51*H51</f>
        <v>420</v>
      </c>
      <c r="J51" s="896">
        <f t="shared" si="8"/>
        <v>462.00000000000006</v>
      </c>
    </row>
    <row r="52" spans="1:10" ht="15.75" thickBot="1">
      <c r="A52" s="1381" t="s">
        <v>764</v>
      </c>
      <c r="B52" s="1415"/>
      <c r="C52" s="899"/>
      <c r="D52" s="900"/>
      <c r="E52" s="899"/>
      <c r="F52" s="901">
        <v>3355</v>
      </c>
      <c r="G52" s="902">
        <v>360.6</v>
      </c>
      <c r="H52" s="927" t="s">
        <v>754</v>
      </c>
      <c r="I52" s="903"/>
      <c r="J52" s="904"/>
    </row>
    <row r="53" spans="1:10" ht="15.75" thickBot="1">
      <c r="A53" s="928"/>
      <c r="B53" s="929"/>
      <c r="C53" s="929"/>
      <c r="D53" s="929"/>
      <c r="E53" s="929"/>
      <c r="F53" s="929"/>
      <c r="G53" s="929"/>
      <c r="H53" s="929"/>
      <c r="I53" s="929"/>
      <c r="J53" s="929"/>
    </row>
    <row r="54" spans="1:10" ht="15.75" thickBot="1">
      <c r="A54" s="1416" t="s">
        <v>792</v>
      </c>
      <c r="B54" s="1417"/>
      <c r="C54" s="1417"/>
      <c r="D54" s="1417"/>
      <c r="E54" s="1417"/>
      <c r="F54" s="1417"/>
      <c r="G54" s="1417"/>
      <c r="H54" s="1417"/>
      <c r="I54" s="1417"/>
      <c r="J54" s="1418"/>
    </row>
    <row r="55" spans="1:10" ht="15.75" thickBot="1">
      <c r="A55" s="887" t="s">
        <v>754</v>
      </c>
      <c r="B55" s="930" t="s">
        <v>755</v>
      </c>
      <c r="C55" s="901" t="s">
        <v>754</v>
      </c>
      <c r="D55" s="931" t="s">
        <v>754</v>
      </c>
      <c r="E55" s="932" t="s">
        <v>754</v>
      </c>
      <c r="F55" s="933" t="s">
        <v>765</v>
      </c>
      <c r="G55" s="934" t="s">
        <v>766</v>
      </c>
      <c r="H55" s="935" t="s">
        <v>754</v>
      </c>
      <c r="I55" s="935" t="s">
        <v>754</v>
      </c>
      <c r="J55" s="935" t="s">
        <v>754</v>
      </c>
    </row>
    <row r="56" spans="1:10" ht="15.75" thickBot="1">
      <c r="A56" s="887">
        <v>1</v>
      </c>
      <c r="B56" s="936" t="s">
        <v>767</v>
      </c>
      <c r="C56" s="924">
        <v>4</v>
      </c>
      <c r="D56" s="901">
        <v>210</v>
      </c>
      <c r="E56" s="902">
        <v>8.4</v>
      </c>
      <c r="F56" s="901">
        <v>389</v>
      </c>
      <c r="G56" s="902">
        <v>44</v>
      </c>
      <c r="H56" s="937">
        <f>'Развитие жив-ва'!$F$24</f>
        <v>3</v>
      </c>
      <c r="I56" s="889">
        <f t="shared" ref="I56:I61" si="9">C56*D56*H56/100</f>
        <v>25.2</v>
      </c>
      <c r="J56" s="890">
        <f t="shared" ref="J56:J61" si="10">I56*1.1</f>
        <v>27.720000000000002</v>
      </c>
    </row>
    <row r="57" spans="1:10" ht="15.75" thickBot="1">
      <c r="A57" s="887">
        <v>2</v>
      </c>
      <c r="B57" s="881" t="s">
        <v>768</v>
      </c>
      <c r="C57" s="882">
        <v>10</v>
      </c>
      <c r="D57" s="883">
        <v>210</v>
      </c>
      <c r="E57" s="882">
        <v>21</v>
      </c>
      <c r="F57" s="883">
        <v>630</v>
      </c>
      <c r="G57" s="884">
        <v>53</v>
      </c>
      <c r="H57" s="937">
        <f>'Развитие жив-ва'!$F$24</f>
        <v>3</v>
      </c>
      <c r="I57" s="889">
        <f t="shared" si="9"/>
        <v>63</v>
      </c>
      <c r="J57" s="890">
        <f t="shared" si="10"/>
        <v>69.300000000000011</v>
      </c>
    </row>
    <row r="58" spans="1:10" ht="15.75" thickBot="1">
      <c r="A58" s="887">
        <v>3</v>
      </c>
      <c r="B58" s="881" t="s">
        <v>760</v>
      </c>
      <c r="C58" s="882">
        <v>14</v>
      </c>
      <c r="D58" s="883">
        <v>240</v>
      </c>
      <c r="E58" s="882">
        <v>33.6</v>
      </c>
      <c r="F58" s="883">
        <v>672</v>
      </c>
      <c r="G58" s="884">
        <v>47</v>
      </c>
      <c r="H58" s="937">
        <f>'Развитие жив-ва'!$F$24</f>
        <v>3</v>
      </c>
      <c r="I58" s="889">
        <f t="shared" si="9"/>
        <v>100.8</v>
      </c>
      <c r="J58" s="890">
        <f t="shared" si="10"/>
        <v>110.88000000000001</v>
      </c>
    </row>
    <row r="59" spans="1:10" ht="15.75" thickBot="1">
      <c r="A59" s="887">
        <v>4</v>
      </c>
      <c r="B59" s="881" t="s">
        <v>769</v>
      </c>
      <c r="C59" s="882">
        <v>8</v>
      </c>
      <c r="D59" s="883">
        <v>200</v>
      </c>
      <c r="E59" s="882">
        <v>16</v>
      </c>
      <c r="F59" s="883">
        <v>480</v>
      </c>
      <c r="G59" s="884">
        <v>26</v>
      </c>
      <c r="H59" s="937">
        <f>'Развитие жив-ва'!$F$24</f>
        <v>3</v>
      </c>
      <c r="I59" s="889">
        <f t="shared" si="9"/>
        <v>48</v>
      </c>
      <c r="J59" s="890">
        <f t="shared" si="10"/>
        <v>52.800000000000004</v>
      </c>
    </row>
    <row r="60" spans="1:10" ht="15.75" thickBot="1">
      <c r="A60" s="887">
        <v>5</v>
      </c>
      <c r="B60" s="881" t="s">
        <v>770</v>
      </c>
      <c r="C60" s="882">
        <v>35</v>
      </c>
      <c r="D60" s="883">
        <v>155</v>
      </c>
      <c r="E60" s="882">
        <v>54.25</v>
      </c>
      <c r="F60" s="883">
        <v>922</v>
      </c>
      <c r="G60" s="884">
        <v>136</v>
      </c>
      <c r="H60" s="937">
        <f>'Развитие жив-ва'!$F$24</f>
        <v>3</v>
      </c>
      <c r="I60" s="889">
        <f t="shared" si="9"/>
        <v>162.75</v>
      </c>
      <c r="J60" s="890">
        <f t="shared" si="10"/>
        <v>179.02500000000001</v>
      </c>
    </row>
    <row r="61" spans="1:10" ht="15.75" thickBot="1">
      <c r="A61" s="891">
        <v>6</v>
      </c>
      <c r="B61" s="881" t="s">
        <v>771</v>
      </c>
      <c r="C61" s="882">
        <v>5.5</v>
      </c>
      <c r="D61" s="883">
        <v>365</v>
      </c>
      <c r="E61" s="879">
        <v>20.100000000000001</v>
      </c>
      <c r="F61" s="883">
        <v>2429</v>
      </c>
      <c r="G61" s="884">
        <v>163</v>
      </c>
      <c r="H61" s="937">
        <f>'Развитие жив-ва'!$F$24</f>
        <v>3</v>
      </c>
      <c r="I61" s="889">
        <f t="shared" si="9"/>
        <v>60.225000000000001</v>
      </c>
      <c r="J61" s="890">
        <f t="shared" si="10"/>
        <v>66.247500000000002</v>
      </c>
    </row>
    <row r="62" spans="1:10" ht="15.75" thickBot="1">
      <c r="A62" s="1381" t="s">
        <v>764</v>
      </c>
      <c r="B62" s="1382"/>
      <c r="C62" s="882" t="s">
        <v>754</v>
      </c>
      <c r="D62" s="883" t="s">
        <v>754</v>
      </c>
      <c r="E62" s="924" t="s">
        <v>754</v>
      </c>
      <c r="F62" s="883">
        <v>5522</v>
      </c>
      <c r="G62" s="884">
        <v>469</v>
      </c>
      <c r="H62" s="885" t="s">
        <v>754</v>
      </c>
      <c r="I62" s="882" t="s">
        <v>754</v>
      </c>
      <c r="J62" s="883" t="s">
        <v>754</v>
      </c>
    </row>
    <row r="63" spans="1:10" ht="15.75" thickBot="1">
      <c r="A63" s="1391" t="s">
        <v>791</v>
      </c>
      <c r="B63" s="1392"/>
      <c r="C63" s="1392"/>
      <c r="D63" s="1392"/>
      <c r="E63" s="1392"/>
      <c r="F63" s="1392"/>
      <c r="G63" s="1392"/>
      <c r="H63" s="1392"/>
      <c r="I63" s="1392"/>
      <c r="J63" s="1382"/>
    </row>
    <row r="64" spans="1:10">
      <c r="A64" s="1383" t="s">
        <v>754</v>
      </c>
      <c r="B64" s="1385" t="s">
        <v>755</v>
      </c>
      <c r="C64" s="1387" t="s">
        <v>754</v>
      </c>
      <c r="D64" s="1383" t="s">
        <v>754</v>
      </c>
      <c r="E64" s="1383" t="s">
        <v>754</v>
      </c>
      <c r="F64" s="905" t="s">
        <v>772</v>
      </c>
      <c r="G64" s="906" t="s">
        <v>773</v>
      </c>
      <c r="H64" s="1389" t="s">
        <v>754</v>
      </c>
      <c r="I64" s="1387" t="s">
        <v>754</v>
      </c>
      <c r="J64" s="1383" t="s">
        <v>754</v>
      </c>
    </row>
    <row r="65" spans="1:10" ht="15.75" thickBot="1">
      <c r="A65" s="1384"/>
      <c r="B65" s="1386"/>
      <c r="C65" s="1388"/>
      <c r="D65" s="1384"/>
      <c r="E65" s="1384"/>
      <c r="F65" s="907">
        <v>1679</v>
      </c>
      <c r="G65" s="908">
        <v>204</v>
      </c>
      <c r="H65" s="1390"/>
      <c r="I65" s="1388"/>
      <c r="J65" s="1384"/>
    </row>
    <row r="66" spans="1:10" ht="15.75" thickBot="1">
      <c r="A66" s="909" t="s">
        <v>774</v>
      </c>
      <c r="B66" s="910" t="s">
        <v>775</v>
      </c>
      <c r="C66" s="911">
        <v>1.5</v>
      </c>
      <c r="D66" s="907">
        <v>365</v>
      </c>
      <c r="E66" s="912">
        <f t="shared" ref="E66:E71" si="11">C66*D66/100</f>
        <v>5.4749999999999996</v>
      </c>
      <c r="F66" s="907">
        <v>547</v>
      </c>
      <c r="G66" s="908">
        <v>44.3</v>
      </c>
      <c r="H66" s="938">
        <f>'Развитие жив-ва'!$F$23</f>
        <v>60</v>
      </c>
      <c r="I66" s="889">
        <f t="shared" ref="I66:I71" si="12">C66*D66*H66/100</f>
        <v>328.5</v>
      </c>
      <c r="J66" s="914">
        <f t="shared" ref="J66:J71" si="13">I66*1.1</f>
        <v>361.35</v>
      </c>
    </row>
    <row r="67" spans="1:10" ht="15.75" thickBot="1">
      <c r="A67" s="909" t="s">
        <v>776</v>
      </c>
      <c r="B67" s="910" t="s">
        <v>777</v>
      </c>
      <c r="C67" s="911">
        <v>0.5</v>
      </c>
      <c r="D67" s="907">
        <v>365</v>
      </c>
      <c r="E67" s="912">
        <f t="shared" si="11"/>
        <v>1.825</v>
      </c>
      <c r="F67" s="907">
        <v>130</v>
      </c>
      <c r="G67" s="908">
        <v>30</v>
      </c>
      <c r="H67" s="938">
        <f>'Развитие жив-ва'!$F$23</f>
        <v>60</v>
      </c>
      <c r="I67" s="889">
        <f t="shared" si="12"/>
        <v>109.5</v>
      </c>
      <c r="J67" s="914">
        <f t="shared" si="13"/>
        <v>120.45</v>
      </c>
    </row>
    <row r="68" spans="1:10" ht="15.75" thickBot="1">
      <c r="A68" s="909" t="s">
        <v>778</v>
      </c>
      <c r="B68" s="910" t="s">
        <v>779</v>
      </c>
      <c r="C68" s="911">
        <v>0.4</v>
      </c>
      <c r="D68" s="907">
        <v>365</v>
      </c>
      <c r="E68" s="912">
        <f t="shared" si="11"/>
        <v>1.46</v>
      </c>
      <c r="F68" s="907">
        <v>153</v>
      </c>
      <c r="G68" s="908">
        <v>54</v>
      </c>
      <c r="H68" s="938">
        <f>'Развитие жив-ва'!$F$23</f>
        <v>60</v>
      </c>
      <c r="I68" s="889">
        <f t="shared" si="12"/>
        <v>87.6</v>
      </c>
      <c r="J68" s="914">
        <f t="shared" si="13"/>
        <v>96.36</v>
      </c>
    </row>
    <row r="69" spans="1:10" ht="15.75" thickBot="1">
      <c r="A69" s="909" t="s">
        <v>780</v>
      </c>
      <c r="B69" s="910" t="s">
        <v>781</v>
      </c>
      <c r="C69" s="911">
        <v>0.2</v>
      </c>
      <c r="D69" s="907">
        <v>365</v>
      </c>
      <c r="E69" s="912">
        <f t="shared" si="11"/>
        <v>0.73</v>
      </c>
      <c r="F69" s="907">
        <v>85.4</v>
      </c>
      <c r="G69" s="908">
        <v>14.2</v>
      </c>
      <c r="H69" s="938">
        <f>'Развитие жив-ва'!$F$23</f>
        <v>60</v>
      </c>
      <c r="I69" s="889">
        <f t="shared" si="12"/>
        <v>43.8</v>
      </c>
      <c r="J69" s="914">
        <f t="shared" si="13"/>
        <v>48.18</v>
      </c>
    </row>
    <row r="70" spans="1:10" ht="15.75" thickBot="1">
      <c r="A70" s="909" t="s">
        <v>782</v>
      </c>
      <c r="B70" s="910" t="s">
        <v>783</v>
      </c>
      <c r="C70" s="911">
        <v>5</v>
      </c>
      <c r="D70" s="907">
        <v>365</v>
      </c>
      <c r="E70" s="912">
        <f t="shared" si="11"/>
        <v>18.25</v>
      </c>
      <c r="F70" s="907">
        <v>548</v>
      </c>
      <c r="G70" s="908">
        <v>29.2</v>
      </c>
      <c r="H70" s="938">
        <f>'Развитие жив-ва'!$F$23</f>
        <v>60</v>
      </c>
      <c r="I70" s="889">
        <f t="shared" si="12"/>
        <v>1095</v>
      </c>
      <c r="J70" s="914">
        <f t="shared" si="13"/>
        <v>1204.5</v>
      </c>
    </row>
    <row r="71" spans="1:10" ht="15.75" thickBot="1">
      <c r="A71" s="915" t="s">
        <v>784</v>
      </c>
      <c r="B71" s="916" t="s">
        <v>785</v>
      </c>
      <c r="C71" s="917">
        <v>0.5</v>
      </c>
      <c r="D71" s="915">
        <v>365</v>
      </c>
      <c r="E71" s="912">
        <f t="shared" si="11"/>
        <v>1.825</v>
      </c>
      <c r="F71" s="915">
        <v>124</v>
      </c>
      <c r="G71" s="918">
        <v>22.4</v>
      </c>
      <c r="H71" s="938">
        <f>'Развитие жив-ва'!$F$23</f>
        <v>60</v>
      </c>
      <c r="I71" s="889">
        <f t="shared" si="12"/>
        <v>109.5</v>
      </c>
      <c r="J71" s="914">
        <f t="shared" si="13"/>
        <v>120.45</v>
      </c>
    </row>
    <row r="72" spans="1:10" ht="15.75" thickBot="1">
      <c r="A72" s="919"/>
      <c r="B72" s="920" t="s">
        <v>764</v>
      </c>
      <c r="C72" s="921"/>
      <c r="D72" s="919"/>
      <c r="E72" s="921"/>
      <c r="F72" s="907">
        <f>SUM(F66:F71)</f>
        <v>1587.4</v>
      </c>
      <c r="G72" s="907">
        <f>SUM(G66:G71)</f>
        <v>194.1</v>
      </c>
      <c r="H72" s="885" t="s">
        <v>754</v>
      </c>
      <c r="I72" s="882" t="s">
        <v>754</v>
      </c>
      <c r="J72" s="883" t="s">
        <v>754</v>
      </c>
    </row>
    <row r="73" spans="1:10" ht="15.75" thickBot="1">
      <c r="A73" s="1378" t="s">
        <v>793</v>
      </c>
      <c r="B73" s="1379"/>
      <c r="C73" s="1379"/>
      <c r="D73" s="1379"/>
      <c r="E73" s="1379"/>
      <c r="F73" s="1379"/>
      <c r="G73" s="1379"/>
      <c r="H73" s="1379"/>
      <c r="I73" s="1379"/>
      <c r="J73" s="1380"/>
    </row>
    <row r="74" spans="1:10" ht="24" thickBot="1">
      <c r="A74" s="887" t="s">
        <v>754</v>
      </c>
      <c r="B74" s="923" t="s">
        <v>755</v>
      </c>
      <c r="C74" s="924" t="s">
        <v>754</v>
      </c>
      <c r="D74" s="901" t="s">
        <v>754</v>
      </c>
      <c r="E74" s="924" t="s">
        <v>754</v>
      </c>
      <c r="F74" s="901" t="s">
        <v>756</v>
      </c>
      <c r="G74" s="902" t="s">
        <v>757</v>
      </c>
      <c r="H74" s="925" t="s">
        <v>754</v>
      </c>
      <c r="I74" s="926" t="s">
        <v>754</v>
      </c>
      <c r="J74" s="901" t="s">
        <v>754</v>
      </c>
    </row>
    <row r="75" spans="1:10" ht="15.75" thickBot="1">
      <c r="A75" s="887">
        <v>1</v>
      </c>
      <c r="B75" s="881" t="s">
        <v>758</v>
      </c>
      <c r="C75" s="882">
        <v>4</v>
      </c>
      <c r="D75" s="883">
        <v>210</v>
      </c>
      <c r="E75" s="882">
        <v>8.4</v>
      </c>
      <c r="F75" s="883">
        <v>389</v>
      </c>
      <c r="G75" s="884">
        <v>43.8</v>
      </c>
      <c r="H75" s="888">
        <f>'Развитие жив-ва'!$F$28</f>
        <v>100</v>
      </c>
      <c r="I75" s="889">
        <f>C75*D75*H75/100</f>
        <v>840</v>
      </c>
      <c r="J75" s="890">
        <f t="shared" ref="J75:J80" si="14">I75*1.1</f>
        <v>924.00000000000011</v>
      </c>
    </row>
    <row r="76" spans="1:10" ht="15.75" thickBot="1">
      <c r="A76" s="887">
        <v>2</v>
      </c>
      <c r="B76" s="881" t="s">
        <v>759</v>
      </c>
      <c r="C76" s="882">
        <v>2</v>
      </c>
      <c r="D76" s="883">
        <v>210</v>
      </c>
      <c r="E76" s="882">
        <v>4.2</v>
      </c>
      <c r="F76" s="883">
        <v>92</v>
      </c>
      <c r="G76" s="884">
        <v>4.2</v>
      </c>
      <c r="H76" s="888">
        <f>'Развитие жив-ва'!$F$28</f>
        <v>100</v>
      </c>
      <c r="I76" s="889">
        <f>C76*D76*H76/100</f>
        <v>420</v>
      </c>
      <c r="J76" s="890">
        <f t="shared" si="14"/>
        <v>462.00000000000006</v>
      </c>
    </row>
    <row r="77" spans="1:10" ht="15.75" thickBot="1">
      <c r="A77" s="887">
        <v>3</v>
      </c>
      <c r="B77" s="881" t="s">
        <v>760</v>
      </c>
      <c r="C77" s="882">
        <v>25</v>
      </c>
      <c r="D77" s="883">
        <v>240</v>
      </c>
      <c r="E77" s="882">
        <v>60</v>
      </c>
      <c r="F77" s="883">
        <v>1080</v>
      </c>
      <c r="G77" s="884">
        <v>108</v>
      </c>
      <c r="H77" s="888">
        <f>'Развитие жив-ва'!$F$28</f>
        <v>100</v>
      </c>
      <c r="I77" s="889">
        <f>C77*D77*H77/100</f>
        <v>6000</v>
      </c>
      <c r="J77" s="890">
        <f t="shared" si="14"/>
        <v>6600.0000000000009</v>
      </c>
    </row>
    <row r="78" spans="1:10" ht="15.75" thickBot="1">
      <c r="A78" s="887">
        <v>4</v>
      </c>
      <c r="B78" s="881" t="s">
        <v>761</v>
      </c>
      <c r="C78" s="882">
        <v>5</v>
      </c>
      <c r="D78" s="883">
        <v>200</v>
      </c>
      <c r="E78" s="882">
        <v>10</v>
      </c>
      <c r="F78" s="883">
        <v>120</v>
      </c>
      <c r="G78" s="884">
        <v>9</v>
      </c>
      <c r="H78" s="888">
        <f>'Развитие жив-ва'!$F$28</f>
        <v>100</v>
      </c>
      <c r="I78" s="889">
        <f>C78*D78*H78/100</f>
        <v>1000</v>
      </c>
      <c r="J78" s="890">
        <f t="shared" si="14"/>
        <v>1100</v>
      </c>
    </row>
    <row r="79" spans="1:10" ht="15.75" thickBot="1">
      <c r="A79" s="887">
        <v>5</v>
      </c>
      <c r="B79" s="881" t="s">
        <v>762</v>
      </c>
      <c r="C79" s="882">
        <v>40</v>
      </c>
      <c r="D79" s="883">
        <v>155</v>
      </c>
      <c r="E79" s="882">
        <v>62</v>
      </c>
      <c r="F79" s="883">
        <v>1116</v>
      </c>
      <c r="G79" s="884">
        <v>111.6</v>
      </c>
      <c r="H79" s="888">
        <f>'Развитие жив-ва'!$F$28</f>
        <v>100</v>
      </c>
      <c r="I79" s="889">
        <f>C79*D79*H79/100</f>
        <v>6200</v>
      </c>
      <c r="J79" s="890">
        <f t="shared" si="14"/>
        <v>6820.0000000000009</v>
      </c>
    </row>
    <row r="80" spans="1:10" ht="24" thickBot="1">
      <c r="A80" s="891">
        <v>6</v>
      </c>
      <c r="B80" s="892" t="s">
        <v>763</v>
      </c>
      <c r="C80" s="879" t="s">
        <v>754</v>
      </c>
      <c r="D80" s="893" t="s">
        <v>754</v>
      </c>
      <c r="E80" s="879">
        <v>6</v>
      </c>
      <c r="F80" s="893">
        <v>558</v>
      </c>
      <c r="G80" s="894">
        <v>84</v>
      </c>
      <c r="H80" s="939">
        <f>'Развитие жив-ва'!$F$28</f>
        <v>100</v>
      </c>
      <c r="I80" s="940">
        <f>E80*H80</f>
        <v>600</v>
      </c>
      <c r="J80" s="941">
        <f t="shared" si="14"/>
        <v>660</v>
      </c>
    </row>
    <row r="81" spans="1:10" ht="15.75" thickBot="1">
      <c r="A81" s="897"/>
      <c r="B81" s="898" t="s">
        <v>764</v>
      </c>
      <c r="C81" s="899"/>
      <c r="D81" s="900"/>
      <c r="E81" s="899"/>
      <c r="F81" s="901">
        <v>3355</v>
      </c>
      <c r="G81" s="902">
        <v>360.6</v>
      </c>
      <c r="H81" s="885" t="s">
        <v>754</v>
      </c>
      <c r="I81" s="882" t="s">
        <v>754</v>
      </c>
      <c r="J81" s="883" t="s">
        <v>754</v>
      </c>
    </row>
    <row r="82" spans="1:10" ht="15.75" thickBot="1">
      <c r="A82" s="1378" t="s">
        <v>794</v>
      </c>
      <c r="B82" s="1379"/>
      <c r="C82" s="1379"/>
      <c r="D82" s="1379"/>
      <c r="E82" s="1379"/>
      <c r="F82" s="1379"/>
      <c r="G82" s="1379"/>
      <c r="H82" s="1379"/>
      <c r="I82" s="1379"/>
      <c r="J82" s="1380"/>
    </row>
    <row r="83" spans="1:10" ht="24" thickBot="1">
      <c r="A83" s="887" t="s">
        <v>754</v>
      </c>
      <c r="B83" s="923" t="s">
        <v>755</v>
      </c>
      <c r="C83" s="924" t="s">
        <v>754</v>
      </c>
      <c r="D83" s="901" t="s">
        <v>754</v>
      </c>
      <c r="E83" s="924" t="s">
        <v>754</v>
      </c>
      <c r="F83" s="901" t="s">
        <v>756</v>
      </c>
      <c r="G83" s="902" t="s">
        <v>757</v>
      </c>
      <c r="H83" s="925" t="s">
        <v>754</v>
      </c>
      <c r="I83" s="926" t="s">
        <v>754</v>
      </c>
      <c r="J83" s="901" t="s">
        <v>754</v>
      </c>
    </row>
    <row r="84" spans="1:10" ht="15.75" thickBot="1">
      <c r="A84" s="887">
        <v>1</v>
      </c>
      <c r="B84" s="881" t="s">
        <v>758</v>
      </c>
      <c r="C84" s="882">
        <v>4</v>
      </c>
      <c r="D84" s="883">
        <v>210</v>
      </c>
      <c r="E84" s="882">
        <v>8.4</v>
      </c>
      <c r="F84" s="883">
        <v>389</v>
      </c>
      <c r="G84" s="884">
        <v>43.8</v>
      </c>
      <c r="H84" s="888">
        <f>'Развитие жив-ва'!$F$34</f>
        <v>80</v>
      </c>
      <c r="I84" s="889">
        <f>C84*D84*H84/100</f>
        <v>672</v>
      </c>
      <c r="J84" s="890">
        <f t="shared" ref="J84:J89" si="15">I84*1.1</f>
        <v>739.2</v>
      </c>
    </row>
    <row r="85" spans="1:10" ht="15.75" thickBot="1">
      <c r="A85" s="887">
        <v>2</v>
      </c>
      <c r="B85" s="881" t="s">
        <v>759</v>
      </c>
      <c r="C85" s="882">
        <v>2</v>
      </c>
      <c r="D85" s="883">
        <v>210</v>
      </c>
      <c r="E85" s="882">
        <v>4.2</v>
      </c>
      <c r="F85" s="883">
        <v>92</v>
      </c>
      <c r="G85" s="884">
        <v>4.2</v>
      </c>
      <c r="H85" s="888">
        <f>'Развитие жив-ва'!$F$34</f>
        <v>80</v>
      </c>
      <c r="I85" s="889">
        <f>C85*D85*H85/100</f>
        <v>336</v>
      </c>
      <c r="J85" s="890">
        <f t="shared" si="15"/>
        <v>369.6</v>
      </c>
    </row>
    <row r="86" spans="1:10" ht="15.75" thickBot="1">
      <c r="A86" s="887">
        <v>3</v>
      </c>
      <c r="B86" s="881" t="s">
        <v>760</v>
      </c>
      <c r="C86" s="882">
        <v>25</v>
      </c>
      <c r="D86" s="883">
        <v>240</v>
      </c>
      <c r="E86" s="882">
        <v>60</v>
      </c>
      <c r="F86" s="883">
        <v>1080</v>
      </c>
      <c r="G86" s="884">
        <v>108</v>
      </c>
      <c r="H86" s="888">
        <f>'Развитие жив-ва'!$F$34</f>
        <v>80</v>
      </c>
      <c r="I86" s="889">
        <f>C86*D86*H86/100</f>
        <v>4800</v>
      </c>
      <c r="J86" s="890">
        <f t="shared" si="15"/>
        <v>5280</v>
      </c>
    </row>
    <row r="87" spans="1:10" ht="15.75" thickBot="1">
      <c r="A87" s="887">
        <v>4</v>
      </c>
      <c r="B87" s="881" t="s">
        <v>761</v>
      </c>
      <c r="C87" s="882">
        <v>5</v>
      </c>
      <c r="D87" s="883">
        <v>200</v>
      </c>
      <c r="E87" s="882">
        <v>10</v>
      </c>
      <c r="F87" s="883">
        <v>120</v>
      </c>
      <c r="G87" s="884">
        <v>9</v>
      </c>
      <c r="H87" s="888">
        <f>'Развитие жив-ва'!$F$34</f>
        <v>80</v>
      </c>
      <c r="I87" s="889">
        <f>C87*D87*H87/100</f>
        <v>800</v>
      </c>
      <c r="J87" s="890">
        <f t="shared" si="15"/>
        <v>880.00000000000011</v>
      </c>
    </row>
    <row r="88" spans="1:10" ht="15.75" thickBot="1">
      <c r="A88" s="887">
        <v>5</v>
      </c>
      <c r="B88" s="881" t="s">
        <v>762</v>
      </c>
      <c r="C88" s="882">
        <v>40</v>
      </c>
      <c r="D88" s="883">
        <v>155</v>
      </c>
      <c r="E88" s="882">
        <v>62</v>
      </c>
      <c r="F88" s="883">
        <v>1116</v>
      </c>
      <c r="G88" s="884">
        <v>111.6</v>
      </c>
      <c r="H88" s="888">
        <f>'Развитие жив-ва'!$F$34</f>
        <v>80</v>
      </c>
      <c r="I88" s="889">
        <f>C88*D88*H88/100</f>
        <v>4960</v>
      </c>
      <c r="J88" s="890">
        <f t="shared" si="15"/>
        <v>5456</v>
      </c>
    </row>
    <row r="89" spans="1:10" ht="24" thickBot="1">
      <c r="A89" s="891">
        <v>6</v>
      </c>
      <c r="B89" s="892" t="s">
        <v>763</v>
      </c>
      <c r="C89" s="879" t="s">
        <v>754</v>
      </c>
      <c r="D89" s="893" t="s">
        <v>754</v>
      </c>
      <c r="E89" s="879">
        <v>6</v>
      </c>
      <c r="F89" s="893">
        <v>558</v>
      </c>
      <c r="G89" s="894">
        <v>84</v>
      </c>
      <c r="H89" s="888">
        <f>'Развитие жив-ва'!$F$34</f>
        <v>80</v>
      </c>
      <c r="I89" s="940">
        <f>E89*H89</f>
        <v>480</v>
      </c>
      <c r="J89" s="941">
        <f t="shared" si="15"/>
        <v>528</v>
      </c>
    </row>
    <row r="90" spans="1:10" ht="15.75" thickBot="1">
      <c r="A90" s="897"/>
      <c r="B90" s="898" t="s">
        <v>764</v>
      </c>
      <c r="C90" s="899"/>
      <c r="D90" s="900"/>
      <c r="E90" s="899"/>
      <c r="F90" s="901">
        <v>3355</v>
      </c>
      <c r="G90" s="902">
        <v>360.6</v>
      </c>
      <c r="H90" s="885" t="s">
        <v>754</v>
      </c>
      <c r="I90" s="882" t="s">
        <v>754</v>
      </c>
      <c r="J90" s="883" t="s">
        <v>754</v>
      </c>
    </row>
    <row r="91" spans="1:10" ht="15.75" thickBot="1">
      <c r="A91" s="1378" t="s">
        <v>796</v>
      </c>
      <c r="B91" s="1379"/>
      <c r="C91" s="1379"/>
      <c r="D91" s="1379"/>
      <c r="E91" s="1379"/>
      <c r="F91" s="1379"/>
      <c r="G91" s="1379"/>
      <c r="H91" s="1379"/>
      <c r="I91" s="1379"/>
      <c r="J91" s="1380"/>
    </row>
    <row r="92" spans="1:10" ht="15.75" thickBot="1">
      <c r="A92" s="887" t="s">
        <v>754</v>
      </c>
      <c r="B92" s="930" t="s">
        <v>755</v>
      </c>
      <c r="C92" s="901" t="s">
        <v>754</v>
      </c>
      <c r="D92" s="931" t="s">
        <v>754</v>
      </c>
      <c r="E92" s="932" t="s">
        <v>754</v>
      </c>
      <c r="F92" s="933" t="s">
        <v>765</v>
      </c>
      <c r="G92" s="934" t="s">
        <v>766</v>
      </c>
      <c r="H92" s="935" t="s">
        <v>754</v>
      </c>
      <c r="I92" s="935" t="s">
        <v>754</v>
      </c>
      <c r="J92" s="935" t="s">
        <v>754</v>
      </c>
    </row>
    <row r="93" spans="1:10" ht="15.75" thickBot="1">
      <c r="A93" s="887">
        <v>1</v>
      </c>
      <c r="B93" s="936" t="s">
        <v>767</v>
      </c>
      <c r="C93" s="924">
        <v>4</v>
      </c>
      <c r="D93" s="901">
        <v>210</v>
      </c>
      <c r="E93" s="902">
        <v>8.4</v>
      </c>
      <c r="F93" s="901">
        <v>389</v>
      </c>
      <c r="G93" s="902">
        <v>44</v>
      </c>
      <c r="H93" s="937">
        <f>'Развитие жив-ва'!$F$37</f>
        <v>15</v>
      </c>
      <c r="I93" s="889">
        <f t="shared" ref="I93:I98" si="16">C93*D93*H93/100</f>
        <v>126</v>
      </c>
      <c r="J93" s="890">
        <f t="shared" ref="J93:J98" si="17">I93*1.1</f>
        <v>138.60000000000002</v>
      </c>
    </row>
    <row r="94" spans="1:10" ht="15.75" thickBot="1">
      <c r="A94" s="887">
        <v>2</v>
      </c>
      <c r="B94" s="881" t="s">
        <v>768</v>
      </c>
      <c r="C94" s="882">
        <v>10</v>
      </c>
      <c r="D94" s="883">
        <v>210</v>
      </c>
      <c r="E94" s="882">
        <v>21</v>
      </c>
      <c r="F94" s="883">
        <v>630</v>
      </c>
      <c r="G94" s="884">
        <v>53</v>
      </c>
      <c r="H94" s="937">
        <f>'Развитие жив-ва'!$F$37</f>
        <v>15</v>
      </c>
      <c r="I94" s="889">
        <f t="shared" si="16"/>
        <v>315</v>
      </c>
      <c r="J94" s="890">
        <f t="shared" si="17"/>
        <v>346.5</v>
      </c>
    </row>
    <row r="95" spans="1:10" ht="15.75" thickBot="1">
      <c r="A95" s="887">
        <v>3</v>
      </c>
      <c r="B95" s="881" t="s">
        <v>760</v>
      </c>
      <c r="C95" s="882">
        <v>14</v>
      </c>
      <c r="D95" s="883">
        <v>240</v>
      </c>
      <c r="E95" s="882">
        <v>33.6</v>
      </c>
      <c r="F95" s="883">
        <v>672</v>
      </c>
      <c r="G95" s="884">
        <v>47</v>
      </c>
      <c r="H95" s="937">
        <f>'Развитие жив-ва'!$F$37</f>
        <v>15</v>
      </c>
      <c r="I95" s="889">
        <f t="shared" si="16"/>
        <v>504</v>
      </c>
      <c r="J95" s="890">
        <f t="shared" si="17"/>
        <v>554.40000000000009</v>
      </c>
    </row>
    <row r="96" spans="1:10" ht="15.75" thickBot="1">
      <c r="A96" s="887">
        <v>4</v>
      </c>
      <c r="B96" s="881" t="s">
        <v>769</v>
      </c>
      <c r="C96" s="882">
        <v>8</v>
      </c>
      <c r="D96" s="883">
        <v>200</v>
      </c>
      <c r="E96" s="882">
        <v>16</v>
      </c>
      <c r="F96" s="883">
        <v>480</v>
      </c>
      <c r="G96" s="884">
        <v>26</v>
      </c>
      <c r="H96" s="937">
        <f>'Развитие жив-ва'!$F$37</f>
        <v>15</v>
      </c>
      <c r="I96" s="889">
        <f t="shared" si="16"/>
        <v>240</v>
      </c>
      <c r="J96" s="890">
        <f t="shared" si="17"/>
        <v>264</v>
      </c>
    </row>
    <row r="97" spans="1:10" ht="15.75" thickBot="1">
      <c r="A97" s="887">
        <v>5</v>
      </c>
      <c r="B97" s="881" t="s">
        <v>770</v>
      </c>
      <c r="C97" s="882">
        <v>35</v>
      </c>
      <c r="D97" s="883">
        <v>155</v>
      </c>
      <c r="E97" s="882">
        <v>54.25</v>
      </c>
      <c r="F97" s="883">
        <v>922</v>
      </c>
      <c r="G97" s="884">
        <v>136</v>
      </c>
      <c r="H97" s="937">
        <f>'Развитие жив-ва'!$F$37</f>
        <v>15</v>
      </c>
      <c r="I97" s="889">
        <f t="shared" si="16"/>
        <v>813.75</v>
      </c>
      <c r="J97" s="890">
        <f t="shared" si="17"/>
        <v>895.12500000000011</v>
      </c>
    </row>
    <row r="98" spans="1:10" ht="15.75" thickBot="1">
      <c r="A98" s="891">
        <v>6</v>
      </c>
      <c r="B98" s="881" t="s">
        <v>771</v>
      </c>
      <c r="C98" s="882">
        <v>5.5</v>
      </c>
      <c r="D98" s="883">
        <v>365</v>
      </c>
      <c r="E98" s="879">
        <v>20.100000000000001</v>
      </c>
      <c r="F98" s="883">
        <v>2429</v>
      </c>
      <c r="G98" s="884">
        <v>163</v>
      </c>
      <c r="H98" s="937">
        <f>'Развитие жив-ва'!$F$37</f>
        <v>15</v>
      </c>
      <c r="I98" s="889">
        <f t="shared" si="16"/>
        <v>301.125</v>
      </c>
      <c r="J98" s="890">
        <f t="shared" si="17"/>
        <v>331.23750000000001</v>
      </c>
    </row>
    <row r="99" spans="1:10" ht="15.75" thickBot="1">
      <c r="A99" s="1381" t="s">
        <v>764</v>
      </c>
      <c r="B99" s="1382"/>
      <c r="C99" s="882" t="s">
        <v>754</v>
      </c>
      <c r="D99" s="883" t="s">
        <v>754</v>
      </c>
      <c r="E99" s="924" t="s">
        <v>754</v>
      </c>
      <c r="F99" s="883">
        <v>5522</v>
      </c>
      <c r="G99" s="884">
        <v>469</v>
      </c>
      <c r="H99" s="885" t="s">
        <v>754</v>
      </c>
      <c r="I99" s="882" t="s">
        <v>754</v>
      </c>
      <c r="J99" s="883" t="s">
        <v>754</v>
      </c>
    </row>
    <row r="100" spans="1:10" ht="15.75" thickBot="1">
      <c r="A100" s="1378" t="s">
        <v>795</v>
      </c>
      <c r="B100" s="1379"/>
      <c r="C100" s="1379"/>
      <c r="D100" s="1379"/>
      <c r="E100" s="1379"/>
      <c r="F100" s="1379"/>
      <c r="G100" s="1379"/>
      <c r="H100" s="1379"/>
      <c r="I100" s="1379"/>
      <c r="J100" s="1380"/>
    </row>
    <row r="101" spans="1:10">
      <c r="A101" s="1383" t="s">
        <v>754</v>
      </c>
      <c r="B101" s="1385" t="s">
        <v>755</v>
      </c>
      <c r="C101" s="1387" t="s">
        <v>754</v>
      </c>
      <c r="D101" s="1383" t="s">
        <v>754</v>
      </c>
      <c r="E101" s="1383" t="s">
        <v>754</v>
      </c>
      <c r="F101" s="905" t="s">
        <v>772</v>
      </c>
      <c r="G101" s="906" t="s">
        <v>773</v>
      </c>
      <c r="H101" s="1389" t="s">
        <v>754</v>
      </c>
      <c r="I101" s="1387" t="s">
        <v>754</v>
      </c>
      <c r="J101" s="1383" t="s">
        <v>754</v>
      </c>
    </row>
    <row r="102" spans="1:10" ht="15.75" thickBot="1">
      <c r="A102" s="1384"/>
      <c r="B102" s="1386"/>
      <c r="C102" s="1388"/>
      <c r="D102" s="1384"/>
      <c r="E102" s="1384"/>
      <c r="F102" s="907">
        <v>1679</v>
      </c>
      <c r="G102" s="908">
        <v>204</v>
      </c>
      <c r="H102" s="1390"/>
      <c r="I102" s="1388"/>
      <c r="J102" s="1384"/>
    </row>
    <row r="103" spans="1:10" ht="15.75" thickBot="1">
      <c r="A103" s="909" t="s">
        <v>774</v>
      </c>
      <c r="B103" s="910" t="s">
        <v>775</v>
      </c>
      <c r="C103" s="911">
        <v>1.5</v>
      </c>
      <c r="D103" s="907">
        <v>365</v>
      </c>
      <c r="E103" s="912">
        <f t="shared" ref="E103:E108" si="18">C103*D103/100</f>
        <v>5.4749999999999996</v>
      </c>
      <c r="F103" s="907">
        <v>547</v>
      </c>
      <c r="G103" s="908">
        <v>44.3</v>
      </c>
      <c r="H103" s="938">
        <f>'Развитие жив-ва'!$F$36</f>
        <v>150</v>
      </c>
      <c r="I103" s="889">
        <f t="shared" ref="I103:I108" si="19">C103*D103*H103/100</f>
        <v>821.25</v>
      </c>
      <c r="J103" s="914">
        <f t="shared" ref="J103:J108" si="20">I103*1.1</f>
        <v>903.37500000000011</v>
      </c>
    </row>
    <row r="104" spans="1:10" ht="15.75" thickBot="1">
      <c r="A104" s="909" t="s">
        <v>776</v>
      </c>
      <c r="B104" s="910" t="s">
        <v>777</v>
      </c>
      <c r="C104" s="911">
        <v>0.5</v>
      </c>
      <c r="D104" s="907">
        <v>365</v>
      </c>
      <c r="E104" s="912">
        <f t="shared" si="18"/>
        <v>1.825</v>
      </c>
      <c r="F104" s="907">
        <v>130</v>
      </c>
      <c r="G104" s="908">
        <v>30</v>
      </c>
      <c r="H104" s="938">
        <f>'Развитие жив-ва'!$F$36</f>
        <v>150</v>
      </c>
      <c r="I104" s="889">
        <f t="shared" si="19"/>
        <v>273.75</v>
      </c>
      <c r="J104" s="914">
        <f t="shared" si="20"/>
        <v>301.125</v>
      </c>
    </row>
    <row r="105" spans="1:10" ht="15.75" thickBot="1">
      <c r="A105" s="909" t="s">
        <v>778</v>
      </c>
      <c r="B105" s="910" t="s">
        <v>779</v>
      </c>
      <c r="C105" s="911">
        <v>0.4</v>
      </c>
      <c r="D105" s="907">
        <v>365</v>
      </c>
      <c r="E105" s="912">
        <f t="shared" si="18"/>
        <v>1.46</v>
      </c>
      <c r="F105" s="907">
        <v>153</v>
      </c>
      <c r="G105" s="908">
        <v>54</v>
      </c>
      <c r="H105" s="938">
        <f>'Развитие жив-ва'!$F$36</f>
        <v>150</v>
      </c>
      <c r="I105" s="889">
        <f t="shared" si="19"/>
        <v>219</v>
      </c>
      <c r="J105" s="914">
        <f t="shared" si="20"/>
        <v>240.9</v>
      </c>
    </row>
    <row r="106" spans="1:10" ht="15.75" thickBot="1">
      <c r="A106" s="909" t="s">
        <v>780</v>
      </c>
      <c r="B106" s="910" t="s">
        <v>781</v>
      </c>
      <c r="C106" s="911">
        <v>0.2</v>
      </c>
      <c r="D106" s="907">
        <v>365</v>
      </c>
      <c r="E106" s="912">
        <f t="shared" si="18"/>
        <v>0.73</v>
      </c>
      <c r="F106" s="907">
        <v>85.4</v>
      </c>
      <c r="G106" s="908">
        <v>14.2</v>
      </c>
      <c r="H106" s="938">
        <f>'Развитие жив-ва'!$F$36</f>
        <v>150</v>
      </c>
      <c r="I106" s="889">
        <f t="shared" si="19"/>
        <v>109.5</v>
      </c>
      <c r="J106" s="914">
        <f t="shared" si="20"/>
        <v>120.45</v>
      </c>
    </row>
    <row r="107" spans="1:10" ht="15.75" thickBot="1">
      <c r="A107" s="909" t="s">
        <v>782</v>
      </c>
      <c r="B107" s="910" t="s">
        <v>783</v>
      </c>
      <c r="C107" s="911">
        <v>5</v>
      </c>
      <c r="D107" s="907">
        <v>365</v>
      </c>
      <c r="E107" s="912">
        <f t="shared" si="18"/>
        <v>18.25</v>
      </c>
      <c r="F107" s="907">
        <v>548</v>
      </c>
      <c r="G107" s="908">
        <v>29.2</v>
      </c>
      <c r="H107" s="938">
        <f>'Развитие жив-ва'!$F$36</f>
        <v>150</v>
      </c>
      <c r="I107" s="889">
        <f t="shared" si="19"/>
        <v>2737.5</v>
      </c>
      <c r="J107" s="914">
        <f t="shared" si="20"/>
        <v>3011.2500000000005</v>
      </c>
    </row>
    <row r="108" spans="1:10" ht="15.75" thickBot="1">
      <c r="A108" s="915" t="s">
        <v>784</v>
      </c>
      <c r="B108" s="916" t="s">
        <v>785</v>
      </c>
      <c r="C108" s="917">
        <v>0.5</v>
      </c>
      <c r="D108" s="915">
        <v>365</v>
      </c>
      <c r="E108" s="912">
        <f t="shared" si="18"/>
        <v>1.825</v>
      </c>
      <c r="F108" s="915">
        <v>124</v>
      </c>
      <c r="G108" s="918">
        <v>22.4</v>
      </c>
      <c r="H108" s="938">
        <f>'Развитие жив-ва'!$F$36</f>
        <v>150</v>
      </c>
      <c r="I108" s="889">
        <f t="shared" si="19"/>
        <v>273.75</v>
      </c>
      <c r="J108" s="914">
        <f t="shared" si="20"/>
        <v>301.125</v>
      </c>
    </row>
    <row r="109" spans="1:10" ht="15.75" customHeight="1" thickBot="1">
      <c r="A109" s="919"/>
      <c r="B109" s="920" t="s">
        <v>764</v>
      </c>
      <c r="C109" s="921"/>
      <c r="D109" s="919"/>
      <c r="E109" s="921"/>
      <c r="F109" s="907">
        <f>SUM(F103:F108)</f>
        <v>1587.4</v>
      </c>
      <c r="G109" s="907">
        <f>SUM(G103:G108)</f>
        <v>194.1</v>
      </c>
      <c r="H109" s="885" t="s">
        <v>754</v>
      </c>
      <c r="I109" s="882" t="s">
        <v>754</v>
      </c>
      <c r="J109" s="883" t="s">
        <v>754</v>
      </c>
    </row>
    <row r="110" spans="1:10" ht="15.75" customHeight="1" thickBot="1">
      <c r="A110" s="1378" t="s">
        <v>797</v>
      </c>
      <c r="B110" s="1379"/>
      <c r="C110" s="1379"/>
      <c r="D110" s="1379"/>
      <c r="E110" s="1379"/>
      <c r="F110" s="1379"/>
      <c r="G110" s="1379"/>
      <c r="H110" s="1379"/>
      <c r="I110" s="1379"/>
      <c r="J110" s="1380"/>
    </row>
    <row r="111" spans="1:10" ht="15.75" customHeight="1" thickBot="1">
      <c r="A111" s="887" t="s">
        <v>754</v>
      </c>
      <c r="B111" s="923" t="s">
        <v>755</v>
      </c>
      <c r="C111" s="924" t="s">
        <v>754</v>
      </c>
      <c r="D111" s="901" t="s">
        <v>754</v>
      </c>
      <c r="E111" s="924" t="s">
        <v>754</v>
      </c>
      <c r="F111" s="901" t="s">
        <v>756</v>
      </c>
      <c r="G111" s="902" t="s">
        <v>757</v>
      </c>
      <c r="H111" s="925" t="s">
        <v>754</v>
      </c>
      <c r="I111" s="926" t="s">
        <v>754</v>
      </c>
      <c r="J111" s="901" t="s">
        <v>754</v>
      </c>
    </row>
    <row r="112" spans="1:10" ht="15.75" customHeight="1" thickBot="1">
      <c r="A112" s="887">
        <v>1</v>
      </c>
      <c r="B112" s="881" t="s">
        <v>758</v>
      </c>
      <c r="C112" s="882">
        <v>4</v>
      </c>
      <c r="D112" s="883">
        <v>210</v>
      </c>
      <c r="E112" s="882">
        <v>8.4</v>
      </c>
      <c r="F112" s="883">
        <v>389</v>
      </c>
      <c r="G112" s="884">
        <v>43.8</v>
      </c>
      <c r="H112" s="888">
        <f>'Развитие жив-ва'!$F$42</f>
        <v>225</v>
      </c>
      <c r="I112" s="889">
        <f>C112*D112*H112/100</f>
        <v>1890</v>
      </c>
      <c r="J112" s="890">
        <f t="shared" ref="J112:J117" si="21">I112*1.1</f>
        <v>2079</v>
      </c>
    </row>
    <row r="113" spans="1:10" ht="15.75" customHeight="1" thickBot="1">
      <c r="A113" s="887">
        <v>2</v>
      </c>
      <c r="B113" s="881" t="s">
        <v>759</v>
      </c>
      <c r="C113" s="882">
        <v>2</v>
      </c>
      <c r="D113" s="883">
        <v>210</v>
      </c>
      <c r="E113" s="882">
        <v>4.2</v>
      </c>
      <c r="F113" s="883">
        <v>92</v>
      </c>
      <c r="G113" s="884">
        <v>4.2</v>
      </c>
      <c r="H113" s="888">
        <f>'Развитие жив-ва'!$F$42</f>
        <v>225</v>
      </c>
      <c r="I113" s="889">
        <f>C113*D113*H113/100</f>
        <v>945</v>
      </c>
      <c r="J113" s="890">
        <f t="shared" si="21"/>
        <v>1039.5</v>
      </c>
    </row>
    <row r="114" spans="1:10" ht="15.75" customHeight="1" thickBot="1">
      <c r="A114" s="887">
        <v>3</v>
      </c>
      <c r="B114" s="881" t="s">
        <v>760</v>
      </c>
      <c r="C114" s="882">
        <v>25</v>
      </c>
      <c r="D114" s="883">
        <v>240</v>
      </c>
      <c r="E114" s="882">
        <v>60</v>
      </c>
      <c r="F114" s="883">
        <v>1080</v>
      </c>
      <c r="G114" s="884">
        <v>108</v>
      </c>
      <c r="H114" s="888">
        <f>'Развитие жив-ва'!$F$42</f>
        <v>225</v>
      </c>
      <c r="I114" s="889">
        <f>C114*D114*H114/100</f>
        <v>13500</v>
      </c>
      <c r="J114" s="890">
        <f t="shared" si="21"/>
        <v>14850.000000000002</v>
      </c>
    </row>
    <row r="115" spans="1:10" ht="15.75" customHeight="1" thickBot="1">
      <c r="A115" s="887">
        <v>4</v>
      </c>
      <c r="B115" s="881" t="s">
        <v>761</v>
      </c>
      <c r="C115" s="882">
        <v>5</v>
      </c>
      <c r="D115" s="883">
        <v>200</v>
      </c>
      <c r="E115" s="882">
        <v>10</v>
      </c>
      <c r="F115" s="883">
        <v>120</v>
      </c>
      <c r="G115" s="884">
        <v>9</v>
      </c>
      <c r="H115" s="888">
        <f>'Развитие жив-ва'!$F$42</f>
        <v>225</v>
      </c>
      <c r="I115" s="889">
        <f>C115*D115*H115/100</f>
        <v>2250</v>
      </c>
      <c r="J115" s="890">
        <f t="shared" si="21"/>
        <v>2475</v>
      </c>
    </row>
    <row r="116" spans="1:10" ht="15.75" customHeight="1" thickBot="1">
      <c r="A116" s="887">
        <v>5</v>
      </c>
      <c r="B116" s="881" t="s">
        <v>762</v>
      </c>
      <c r="C116" s="882">
        <v>40</v>
      </c>
      <c r="D116" s="883">
        <v>155</v>
      </c>
      <c r="E116" s="882">
        <v>62</v>
      </c>
      <c r="F116" s="883">
        <v>1116</v>
      </c>
      <c r="G116" s="884">
        <v>111.6</v>
      </c>
      <c r="H116" s="888">
        <f>'Развитие жив-ва'!$F$42</f>
        <v>225</v>
      </c>
      <c r="I116" s="889">
        <f>C116*D116*H116/100</f>
        <v>13950</v>
      </c>
      <c r="J116" s="890">
        <f t="shared" si="21"/>
        <v>15345.000000000002</v>
      </c>
    </row>
    <row r="117" spans="1:10" ht="15.75" customHeight="1" thickBot="1">
      <c r="A117" s="891">
        <v>6</v>
      </c>
      <c r="B117" s="892" t="s">
        <v>763</v>
      </c>
      <c r="C117" s="879" t="s">
        <v>754</v>
      </c>
      <c r="D117" s="893" t="s">
        <v>754</v>
      </c>
      <c r="E117" s="879">
        <v>6</v>
      </c>
      <c r="F117" s="893">
        <v>558</v>
      </c>
      <c r="G117" s="894">
        <v>84</v>
      </c>
      <c r="H117" s="888">
        <f>'Развитие жив-ва'!$F$42</f>
        <v>225</v>
      </c>
      <c r="I117" s="940">
        <f>E117*H117</f>
        <v>1350</v>
      </c>
      <c r="J117" s="941">
        <f t="shared" si="21"/>
        <v>1485.0000000000002</v>
      </c>
    </row>
    <row r="118" spans="1:10" ht="15.75" customHeight="1" thickBot="1">
      <c r="A118" s="897"/>
      <c r="B118" s="898" t="s">
        <v>764</v>
      </c>
      <c r="C118" s="899"/>
      <c r="D118" s="900"/>
      <c r="E118" s="899"/>
      <c r="F118" s="901">
        <v>3355</v>
      </c>
      <c r="G118" s="902">
        <v>360.6</v>
      </c>
      <c r="H118" s="885" t="s">
        <v>754</v>
      </c>
      <c r="I118" s="882" t="s">
        <v>754</v>
      </c>
      <c r="J118" s="883" t="s">
        <v>754</v>
      </c>
    </row>
    <row r="119" spans="1:10" ht="15.75" thickBot="1">
      <c r="A119" s="1378" t="s">
        <v>798</v>
      </c>
      <c r="B119" s="1379"/>
      <c r="C119" s="1379"/>
      <c r="D119" s="1379"/>
      <c r="E119" s="1379"/>
      <c r="F119" s="1379"/>
      <c r="G119" s="1379"/>
      <c r="H119" s="1379"/>
      <c r="I119" s="1379"/>
      <c r="J119" s="1380"/>
    </row>
    <row r="120" spans="1:10" ht="15.75" thickBot="1">
      <c r="A120" s="887" t="s">
        <v>754</v>
      </c>
      <c r="B120" s="930" t="s">
        <v>755</v>
      </c>
      <c r="C120" s="901" t="s">
        <v>754</v>
      </c>
      <c r="D120" s="931" t="s">
        <v>754</v>
      </c>
      <c r="E120" s="932" t="s">
        <v>754</v>
      </c>
      <c r="F120" s="933" t="s">
        <v>765</v>
      </c>
      <c r="G120" s="934" t="s">
        <v>766</v>
      </c>
      <c r="H120" s="935" t="s">
        <v>754</v>
      </c>
      <c r="I120" s="935" t="s">
        <v>754</v>
      </c>
      <c r="J120" s="935" t="s">
        <v>754</v>
      </c>
    </row>
    <row r="121" spans="1:10" ht="15.75" thickBot="1">
      <c r="A121" s="887">
        <v>1</v>
      </c>
      <c r="B121" s="936" t="s">
        <v>767</v>
      </c>
      <c r="C121" s="924">
        <v>4</v>
      </c>
      <c r="D121" s="901">
        <v>210</v>
      </c>
      <c r="E121" s="902">
        <v>8.4</v>
      </c>
      <c r="F121" s="901">
        <v>389</v>
      </c>
      <c r="G121" s="902">
        <v>44</v>
      </c>
      <c r="H121" s="925">
        <f>'Развитие жив-ва'!$F$45</f>
        <v>45</v>
      </c>
      <c r="I121" s="889">
        <f t="shared" ref="I121:I126" si="22">C121*D121*H121/100</f>
        <v>378</v>
      </c>
      <c r="J121" s="890">
        <f t="shared" ref="J121:J126" si="23">I121*1.1</f>
        <v>415.8</v>
      </c>
    </row>
    <row r="122" spans="1:10" ht="15.75" thickBot="1">
      <c r="A122" s="887">
        <v>2</v>
      </c>
      <c r="B122" s="881" t="s">
        <v>768</v>
      </c>
      <c r="C122" s="882">
        <v>10</v>
      </c>
      <c r="D122" s="883">
        <v>210</v>
      </c>
      <c r="E122" s="882">
        <v>21</v>
      </c>
      <c r="F122" s="883">
        <v>630</v>
      </c>
      <c r="G122" s="884">
        <v>53</v>
      </c>
      <c r="H122" s="925">
        <f>'Развитие жив-ва'!$F$45</f>
        <v>45</v>
      </c>
      <c r="I122" s="889">
        <f t="shared" si="22"/>
        <v>945</v>
      </c>
      <c r="J122" s="890">
        <f t="shared" si="23"/>
        <v>1039.5</v>
      </c>
    </row>
    <row r="123" spans="1:10" ht="15.75" thickBot="1">
      <c r="A123" s="887">
        <v>3</v>
      </c>
      <c r="B123" s="881" t="s">
        <v>760</v>
      </c>
      <c r="C123" s="882">
        <v>14</v>
      </c>
      <c r="D123" s="883">
        <v>240</v>
      </c>
      <c r="E123" s="882">
        <v>33.6</v>
      </c>
      <c r="F123" s="883">
        <v>672</v>
      </c>
      <c r="G123" s="884">
        <v>47</v>
      </c>
      <c r="H123" s="925">
        <f>'Развитие жив-ва'!$F$45</f>
        <v>45</v>
      </c>
      <c r="I123" s="889">
        <f t="shared" si="22"/>
        <v>1512</v>
      </c>
      <c r="J123" s="890">
        <f t="shared" si="23"/>
        <v>1663.2</v>
      </c>
    </row>
    <row r="124" spans="1:10" ht="15.75" thickBot="1">
      <c r="A124" s="887">
        <v>4</v>
      </c>
      <c r="B124" s="881" t="s">
        <v>769</v>
      </c>
      <c r="C124" s="882">
        <v>8</v>
      </c>
      <c r="D124" s="883">
        <v>200</v>
      </c>
      <c r="E124" s="882">
        <v>16</v>
      </c>
      <c r="F124" s="883">
        <v>480</v>
      </c>
      <c r="G124" s="884">
        <v>26</v>
      </c>
      <c r="H124" s="925">
        <f>'Развитие жив-ва'!$F$45</f>
        <v>45</v>
      </c>
      <c r="I124" s="889">
        <f t="shared" si="22"/>
        <v>720</v>
      </c>
      <c r="J124" s="890">
        <f t="shared" si="23"/>
        <v>792.00000000000011</v>
      </c>
    </row>
    <row r="125" spans="1:10" ht="15.75" thickBot="1">
      <c r="A125" s="887">
        <v>5</v>
      </c>
      <c r="B125" s="881" t="s">
        <v>770</v>
      </c>
      <c r="C125" s="882">
        <v>35</v>
      </c>
      <c r="D125" s="883">
        <v>155</v>
      </c>
      <c r="E125" s="882">
        <v>54.25</v>
      </c>
      <c r="F125" s="883">
        <v>922</v>
      </c>
      <c r="G125" s="884">
        <v>136</v>
      </c>
      <c r="H125" s="925">
        <f>'Развитие жив-ва'!$F$45</f>
        <v>45</v>
      </c>
      <c r="I125" s="889">
        <f t="shared" si="22"/>
        <v>2441.25</v>
      </c>
      <c r="J125" s="890">
        <f t="shared" si="23"/>
        <v>2685.375</v>
      </c>
    </row>
    <row r="126" spans="1:10" ht="15.75" thickBot="1">
      <c r="A126" s="891">
        <v>6</v>
      </c>
      <c r="B126" s="881" t="s">
        <v>771</v>
      </c>
      <c r="C126" s="882">
        <v>5.5</v>
      </c>
      <c r="D126" s="883">
        <v>365</v>
      </c>
      <c r="E126" s="879">
        <v>20.100000000000001</v>
      </c>
      <c r="F126" s="883">
        <v>2429</v>
      </c>
      <c r="G126" s="884">
        <v>163</v>
      </c>
      <c r="H126" s="925">
        <f>'Развитие жив-ва'!$F$45</f>
        <v>45</v>
      </c>
      <c r="I126" s="889">
        <f t="shared" si="22"/>
        <v>903.375</v>
      </c>
      <c r="J126" s="890">
        <f t="shared" si="23"/>
        <v>993.71250000000009</v>
      </c>
    </row>
    <row r="127" spans="1:10" ht="15.75" thickBot="1">
      <c r="A127" s="1381" t="s">
        <v>764</v>
      </c>
      <c r="B127" s="1382"/>
      <c r="C127" s="882" t="s">
        <v>754</v>
      </c>
      <c r="D127" s="883" t="s">
        <v>754</v>
      </c>
      <c r="E127" s="924" t="s">
        <v>754</v>
      </c>
      <c r="F127" s="883">
        <v>5522</v>
      </c>
      <c r="G127" s="884">
        <v>469</v>
      </c>
      <c r="H127" s="885" t="s">
        <v>754</v>
      </c>
      <c r="I127" s="882" t="s">
        <v>754</v>
      </c>
      <c r="J127" s="883" t="s">
        <v>754</v>
      </c>
    </row>
    <row r="128" spans="1:10" ht="15.75" thickBot="1">
      <c r="A128" s="1378" t="s">
        <v>799</v>
      </c>
      <c r="B128" s="1379"/>
      <c r="C128" s="1379"/>
      <c r="D128" s="1379"/>
      <c r="E128" s="1379"/>
      <c r="F128" s="1379"/>
      <c r="G128" s="1379"/>
      <c r="H128" s="1379"/>
      <c r="I128" s="1379"/>
      <c r="J128" s="1380"/>
    </row>
    <row r="129" spans="1:10" ht="24" thickBot="1">
      <c r="A129" s="887" t="s">
        <v>754</v>
      </c>
      <c r="B129" s="923" t="s">
        <v>755</v>
      </c>
      <c r="C129" s="924" t="s">
        <v>754</v>
      </c>
      <c r="D129" s="901" t="s">
        <v>754</v>
      </c>
      <c r="E129" s="924" t="s">
        <v>754</v>
      </c>
      <c r="F129" s="901" t="s">
        <v>756</v>
      </c>
      <c r="G129" s="902" t="s">
        <v>757</v>
      </c>
      <c r="H129" s="925" t="s">
        <v>754</v>
      </c>
      <c r="I129" s="926" t="s">
        <v>754</v>
      </c>
      <c r="J129" s="901" t="s">
        <v>754</v>
      </c>
    </row>
    <row r="130" spans="1:10" ht="15.75" thickBot="1">
      <c r="A130" s="887">
        <v>1</v>
      </c>
      <c r="B130" s="881" t="s">
        <v>758</v>
      </c>
      <c r="C130" s="882">
        <v>4</v>
      </c>
      <c r="D130" s="883">
        <v>210</v>
      </c>
      <c r="E130" s="882">
        <v>8.4</v>
      </c>
      <c r="F130" s="883">
        <v>389</v>
      </c>
      <c r="G130" s="884">
        <v>43.8</v>
      </c>
      <c r="H130" s="888">
        <f>'Развитие жив-ва'!$F$56</f>
        <v>1600</v>
      </c>
      <c r="I130" s="889">
        <f>C130*D130*H130/100</f>
        <v>13440</v>
      </c>
      <c r="J130" s="890">
        <f t="shared" ref="J130:J135" si="24">I130*1.1</f>
        <v>14784.000000000002</v>
      </c>
    </row>
    <row r="131" spans="1:10" ht="15.75" thickBot="1">
      <c r="A131" s="887">
        <v>2</v>
      </c>
      <c r="B131" s="881" t="s">
        <v>759</v>
      </c>
      <c r="C131" s="882">
        <v>2</v>
      </c>
      <c r="D131" s="883">
        <v>210</v>
      </c>
      <c r="E131" s="882">
        <v>4.2</v>
      </c>
      <c r="F131" s="883">
        <v>92</v>
      </c>
      <c r="G131" s="884">
        <v>4.2</v>
      </c>
      <c r="H131" s="888">
        <f>'Развитие жив-ва'!$F$56</f>
        <v>1600</v>
      </c>
      <c r="I131" s="889">
        <f>C131*D131*H131/100</f>
        <v>6720</v>
      </c>
      <c r="J131" s="890">
        <f t="shared" si="24"/>
        <v>7392.0000000000009</v>
      </c>
    </row>
    <row r="132" spans="1:10" ht="15.75" thickBot="1">
      <c r="A132" s="887">
        <v>3</v>
      </c>
      <c r="B132" s="881" t="s">
        <v>760</v>
      </c>
      <c r="C132" s="882">
        <v>25</v>
      </c>
      <c r="D132" s="883">
        <v>240</v>
      </c>
      <c r="E132" s="882">
        <v>60</v>
      </c>
      <c r="F132" s="883">
        <v>1080</v>
      </c>
      <c r="G132" s="884">
        <v>108</v>
      </c>
      <c r="H132" s="888">
        <f>'Развитие жив-ва'!$F$56</f>
        <v>1600</v>
      </c>
      <c r="I132" s="889">
        <f>C132*D132*H132/100</f>
        <v>96000</v>
      </c>
      <c r="J132" s="890">
        <f t="shared" si="24"/>
        <v>105600.00000000001</v>
      </c>
    </row>
    <row r="133" spans="1:10" ht="15.75" thickBot="1">
      <c r="A133" s="887">
        <v>4</v>
      </c>
      <c r="B133" s="881" t="s">
        <v>761</v>
      </c>
      <c r="C133" s="882">
        <v>5</v>
      </c>
      <c r="D133" s="883">
        <v>200</v>
      </c>
      <c r="E133" s="882">
        <v>10</v>
      </c>
      <c r="F133" s="883">
        <v>120</v>
      </c>
      <c r="G133" s="884">
        <v>9</v>
      </c>
      <c r="H133" s="888">
        <f>'Развитие жив-ва'!$F$56</f>
        <v>1600</v>
      </c>
      <c r="I133" s="889">
        <f>C133*D133*H133/100</f>
        <v>16000</v>
      </c>
      <c r="J133" s="890">
        <f t="shared" si="24"/>
        <v>17600</v>
      </c>
    </row>
    <row r="134" spans="1:10" ht="15.75" thickBot="1">
      <c r="A134" s="887">
        <v>5</v>
      </c>
      <c r="B134" s="881" t="s">
        <v>762</v>
      </c>
      <c r="C134" s="882">
        <v>40</v>
      </c>
      <c r="D134" s="883">
        <v>155</v>
      </c>
      <c r="E134" s="882">
        <v>62</v>
      </c>
      <c r="F134" s="883">
        <v>1116</v>
      </c>
      <c r="G134" s="884">
        <v>111.6</v>
      </c>
      <c r="H134" s="888">
        <f>'Развитие жив-ва'!$F$56</f>
        <v>1600</v>
      </c>
      <c r="I134" s="889">
        <f>C134*D134*H134/100</f>
        <v>99200</v>
      </c>
      <c r="J134" s="890">
        <f t="shared" si="24"/>
        <v>109120.00000000001</v>
      </c>
    </row>
    <row r="135" spans="1:10" ht="24" thickBot="1">
      <c r="A135" s="891">
        <v>6</v>
      </c>
      <c r="B135" s="892" t="s">
        <v>763</v>
      </c>
      <c r="C135" s="879" t="s">
        <v>754</v>
      </c>
      <c r="D135" s="893" t="s">
        <v>754</v>
      </c>
      <c r="E135" s="879">
        <v>6</v>
      </c>
      <c r="F135" s="893">
        <v>558</v>
      </c>
      <c r="G135" s="894">
        <v>84</v>
      </c>
      <c r="H135" s="888">
        <f>'Развитие жив-ва'!$F$56</f>
        <v>1600</v>
      </c>
      <c r="I135" s="895">
        <f>E135*H135</f>
        <v>9600</v>
      </c>
      <c r="J135" s="896">
        <f t="shared" si="24"/>
        <v>10560</v>
      </c>
    </row>
    <row r="136" spans="1:10" ht="15.75" thickBot="1">
      <c r="A136" s="897"/>
      <c r="B136" s="898" t="s">
        <v>764</v>
      </c>
      <c r="C136" s="899"/>
      <c r="D136" s="900"/>
      <c r="E136" s="899"/>
      <c r="F136" s="901">
        <v>3355</v>
      </c>
      <c r="G136" s="902">
        <v>360.6</v>
      </c>
      <c r="H136" s="885" t="s">
        <v>754</v>
      </c>
      <c r="I136" s="882" t="s">
        <v>754</v>
      </c>
      <c r="J136" s="883" t="s">
        <v>754</v>
      </c>
    </row>
    <row r="137" spans="1:10" ht="15.75" thickBot="1">
      <c r="A137" s="1378" t="s">
        <v>806</v>
      </c>
      <c r="B137" s="1379"/>
      <c r="C137" s="1379"/>
      <c r="D137" s="1379"/>
      <c r="E137" s="1379"/>
      <c r="F137" s="1379"/>
      <c r="G137" s="1379"/>
      <c r="H137" s="1379"/>
      <c r="I137" s="1379"/>
      <c r="J137" s="1380"/>
    </row>
    <row r="138" spans="1:10" ht="15.75" thickBot="1">
      <c r="A138" s="887" t="s">
        <v>754</v>
      </c>
      <c r="B138" s="930" t="s">
        <v>755</v>
      </c>
      <c r="C138" s="901" t="s">
        <v>754</v>
      </c>
      <c r="D138" s="931" t="s">
        <v>754</v>
      </c>
      <c r="E138" s="932" t="s">
        <v>754</v>
      </c>
      <c r="F138" s="933" t="s">
        <v>765</v>
      </c>
      <c r="G138" s="934" t="s">
        <v>766</v>
      </c>
      <c r="H138" s="935" t="s">
        <v>754</v>
      </c>
      <c r="I138" s="935" t="s">
        <v>754</v>
      </c>
      <c r="J138" s="935" t="s">
        <v>754</v>
      </c>
    </row>
    <row r="139" spans="1:10" ht="15.75" thickBot="1">
      <c r="A139" s="887">
        <v>1</v>
      </c>
      <c r="B139" s="936" t="s">
        <v>767</v>
      </c>
      <c r="C139" s="924">
        <v>4</v>
      </c>
      <c r="D139" s="901">
        <v>210</v>
      </c>
      <c r="E139" s="902">
        <v>8.4</v>
      </c>
      <c r="F139" s="901">
        <v>389</v>
      </c>
      <c r="G139" s="902">
        <v>44</v>
      </c>
      <c r="H139" s="925">
        <f>'Развитие жив-ва'!$F$58</f>
        <v>130</v>
      </c>
      <c r="I139" s="889">
        <f t="shared" ref="I139:I144" si="25">C139*D139*H139/100</f>
        <v>1092</v>
      </c>
      <c r="J139" s="890">
        <f t="shared" ref="J139:J144" si="26">I139*1.1</f>
        <v>1201.2</v>
      </c>
    </row>
    <row r="140" spans="1:10" ht="15.75" thickBot="1">
      <c r="A140" s="887">
        <v>2</v>
      </c>
      <c r="B140" s="881" t="s">
        <v>768</v>
      </c>
      <c r="C140" s="882">
        <v>10</v>
      </c>
      <c r="D140" s="883">
        <v>210</v>
      </c>
      <c r="E140" s="882">
        <v>21</v>
      </c>
      <c r="F140" s="883">
        <v>630</v>
      </c>
      <c r="G140" s="884">
        <v>53</v>
      </c>
      <c r="H140" s="925">
        <f>'Развитие жив-ва'!$F$58</f>
        <v>130</v>
      </c>
      <c r="I140" s="889">
        <f t="shared" si="25"/>
        <v>2730</v>
      </c>
      <c r="J140" s="890">
        <f t="shared" si="26"/>
        <v>3003.0000000000005</v>
      </c>
    </row>
    <row r="141" spans="1:10" ht="15.75" thickBot="1">
      <c r="A141" s="887">
        <v>3</v>
      </c>
      <c r="B141" s="881" t="s">
        <v>760</v>
      </c>
      <c r="C141" s="882">
        <v>14</v>
      </c>
      <c r="D141" s="883">
        <v>240</v>
      </c>
      <c r="E141" s="882">
        <v>33.6</v>
      </c>
      <c r="F141" s="883">
        <v>672</v>
      </c>
      <c r="G141" s="884">
        <v>47</v>
      </c>
      <c r="H141" s="925">
        <f>'Развитие жив-ва'!$F$58</f>
        <v>130</v>
      </c>
      <c r="I141" s="889">
        <f t="shared" si="25"/>
        <v>4368</v>
      </c>
      <c r="J141" s="890">
        <f t="shared" si="26"/>
        <v>4804.8</v>
      </c>
    </row>
    <row r="142" spans="1:10" ht="15.75" thickBot="1">
      <c r="A142" s="887">
        <v>4</v>
      </c>
      <c r="B142" s="881" t="s">
        <v>769</v>
      </c>
      <c r="C142" s="882">
        <v>8</v>
      </c>
      <c r="D142" s="883">
        <v>200</v>
      </c>
      <c r="E142" s="882">
        <v>16</v>
      </c>
      <c r="F142" s="883">
        <v>480</v>
      </c>
      <c r="G142" s="884">
        <v>26</v>
      </c>
      <c r="H142" s="925">
        <f>'Развитие жив-ва'!$F$58</f>
        <v>130</v>
      </c>
      <c r="I142" s="889">
        <f t="shared" si="25"/>
        <v>2080</v>
      </c>
      <c r="J142" s="890">
        <f t="shared" si="26"/>
        <v>2288</v>
      </c>
    </row>
    <row r="143" spans="1:10" ht="15.75" thickBot="1">
      <c r="A143" s="887">
        <v>5</v>
      </c>
      <c r="B143" s="881" t="s">
        <v>770</v>
      </c>
      <c r="C143" s="882">
        <v>35</v>
      </c>
      <c r="D143" s="883">
        <v>155</v>
      </c>
      <c r="E143" s="882">
        <v>54.25</v>
      </c>
      <c r="F143" s="883">
        <v>922</v>
      </c>
      <c r="G143" s="884">
        <v>136</v>
      </c>
      <c r="H143" s="925">
        <f>'Развитие жив-ва'!$F$58</f>
        <v>130</v>
      </c>
      <c r="I143" s="889">
        <f t="shared" si="25"/>
        <v>7052.5</v>
      </c>
      <c r="J143" s="890">
        <f t="shared" si="26"/>
        <v>7757.7500000000009</v>
      </c>
    </row>
    <row r="144" spans="1:10" ht="15.75" thickBot="1">
      <c r="A144" s="891">
        <v>6</v>
      </c>
      <c r="B144" s="881" t="s">
        <v>771</v>
      </c>
      <c r="C144" s="882">
        <v>5.5</v>
      </c>
      <c r="D144" s="883">
        <v>365</v>
      </c>
      <c r="E144" s="879">
        <v>20.100000000000001</v>
      </c>
      <c r="F144" s="883">
        <v>2429</v>
      </c>
      <c r="G144" s="884">
        <v>163</v>
      </c>
      <c r="H144" s="925">
        <f>'Развитие жив-ва'!$F$58</f>
        <v>130</v>
      </c>
      <c r="I144" s="889">
        <f t="shared" si="25"/>
        <v>2609.75</v>
      </c>
      <c r="J144" s="890">
        <f t="shared" si="26"/>
        <v>2870.7250000000004</v>
      </c>
    </row>
    <row r="145" spans="1:10" ht="15.75" thickBot="1">
      <c r="A145" s="1381" t="s">
        <v>764</v>
      </c>
      <c r="B145" s="1382"/>
      <c r="C145" s="882" t="s">
        <v>754</v>
      </c>
      <c r="D145" s="883" t="s">
        <v>754</v>
      </c>
      <c r="E145" s="924" t="s">
        <v>754</v>
      </c>
      <c r="F145" s="883">
        <v>5522</v>
      </c>
      <c r="G145" s="884">
        <v>469</v>
      </c>
      <c r="H145" s="885" t="s">
        <v>754</v>
      </c>
      <c r="I145" s="882" t="s">
        <v>754</v>
      </c>
      <c r="J145" s="883" t="s">
        <v>754</v>
      </c>
    </row>
    <row r="146" spans="1:10" ht="15.75" thickBot="1">
      <c r="A146" s="1378" t="s">
        <v>800</v>
      </c>
      <c r="B146" s="1379"/>
      <c r="C146" s="1379"/>
      <c r="D146" s="1379"/>
      <c r="E146" s="1379"/>
      <c r="F146" s="1379"/>
      <c r="G146" s="1379"/>
      <c r="H146" s="1379"/>
      <c r="I146" s="1379"/>
      <c r="J146" s="1380"/>
    </row>
    <row r="147" spans="1:10" ht="24" thickBot="1">
      <c r="A147" s="887" t="s">
        <v>754</v>
      </c>
      <c r="B147" s="923" t="s">
        <v>755</v>
      </c>
      <c r="C147" s="924" t="s">
        <v>754</v>
      </c>
      <c r="D147" s="901" t="s">
        <v>754</v>
      </c>
      <c r="E147" s="924" t="s">
        <v>754</v>
      </c>
      <c r="F147" s="901" t="s">
        <v>756</v>
      </c>
      <c r="G147" s="902" t="s">
        <v>757</v>
      </c>
      <c r="H147" s="925" t="s">
        <v>754</v>
      </c>
      <c r="I147" s="926" t="s">
        <v>754</v>
      </c>
      <c r="J147" s="901" t="s">
        <v>754</v>
      </c>
    </row>
    <row r="148" spans="1:10" ht="15.75" thickBot="1">
      <c r="A148" s="887">
        <v>1</v>
      </c>
      <c r="B148" s="881" t="s">
        <v>758</v>
      </c>
      <c r="C148" s="882">
        <v>4</v>
      </c>
      <c r="D148" s="883">
        <v>210</v>
      </c>
      <c r="E148" s="882">
        <v>8.4</v>
      </c>
      <c r="F148" s="883">
        <v>389</v>
      </c>
      <c r="G148" s="884">
        <v>43.8</v>
      </c>
      <c r="H148" s="888">
        <f>'Развитие жив-ва'!$F$63</f>
        <v>20</v>
      </c>
      <c r="I148" s="889">
        <f>C148*D148*H148/100</f>
        <v>168</v>
      </c>
      <c r="J148" s="890">
        <f t="shared" ref="J148:J153" si="27">I148*1.1</f>
        <v>184.8</v>
      </c>
    </row>
    <row r="149" spans="1:10" ht="15.75" thickBot="1">
      <c r="A149" s="887">
        <v>2</v>
      </c>
      <c r="B149" s="881" t="s">
        <v>759</v>
      </c>
      <c r="C149" s="882">
        <v>2</v>
      </c>
      <c r="D149" s="883">
        <v>210</v>
      </c>
      <c r="E149" s="882">
        <v>4.2</v>
      </c>
      <c r="F149" s="883">
        <v>92</v>
      </c>
      <c r="G149" s="884">
        <v>4.2</v>
      </c>
      <c r="H149" s="888">
        <f>'Развитие жив-ва'!$F$63</f>
        <v>20</v>
      </c>
      <c r="I149" s="889">
        <f>C149*D149*H149/100</f>
        <v>84</v>
      </c>
      <c r="J149" s="890">
        <f t="shared" si="27"/>
        <v>92.4</v>
      </c>
    </row>
    <row r="150" spans="1:10" ht="15.75" thickBot="1">
      <c r="A150" s="887">
        <v>3</v>
      </c>
      <c r="B150" s="881" t="s">
        <v>760</v>
      </c>
      <c r="C150" s="882">
        <v>25</v>
      </c>
      <c r="D150" s="883">
        <v>240</v>
      </c>
      <c r="E150" s="882">
        <v>60</v>
      </c>
      <c r="F150" s="883">
        <v>1080</v>
      </c>
      <c r="G150" s="884">
        <v>108</v>
      </c>
      <c r="H150" s="888">
        <f>'Развитие жив-ва'!$F$63</f>
        <v>20</v>
      </c>
      <c r="I150" s="889">
        <f>C150*D150*H150/100</f>
        <v>1200</v>
      </c>
      <c r="J150" s="890">
        <f t="shared" si="27"/>
        <v>1320</v>
      </c>
    </row>
    <row r="151" spans="1:10" ht="15.75" thickBot="1">
      <c r="A151" s="887">
        <v>4</v>
      </c>
      <c r="B151" s="881" t="s">
        <v>761</v>
      </c>
      <c r="C151" s="882">
        <v>5</v>
      </c>
      <c r="D151" s="883">
        <v>200</v>
      </c>
      <c r="E151" s="882">
        <v>10</v>
      </c>
      <c r="F151" s="883">
        <v>120</v>
      </c>
      <c r="G151" s="884">
        <v>9</v>
      </c>
      <c r="H151" s="888">
        <f>'Развитие жив-ва'!$F$63</f>
        <v>20</v>
      </c>
      <c r="I151" s="889">
        <f>C151*D151*H151/100</f>
        <v>200</v>
      </c>
      <c r="J151" s="890">
        <f t="shared" si="27"/>
        <v>220.00000000000003</v>
      </c>
    </row>
    <row r="152" spans="1:10" ht="15.75" thickBot="1">
      <c r="A152" s="887">
        <v>5</v>
      </c>
      <c r="B152" s="881" t="s">
        <v>762</v>
      </c>
      <c r="C152" s="882">
        <v>40</v>
      </c>
      <c r="D152" s="883">
        <v>155</v>
      </c>
      <c r="E152" s="882">
        <v>62</v>
      </c>
      <c r="F152" s="883">
        <v>1116</v>
      </c>
      <c r="G152" s="884">
        <v>111.6</v>
      </c>
      <c r="H152" s="888">
        <f>'Развитие жив-ва'!$F$63</f>
        <v>20</v>
      </c>
      <c r="I152" s="889">
        <f>C152*D152*H152/100</f>
        <v>1240</v>
      </c>
      <c r="J152" s="890">
        <f t="shared" si="27"/>
        <v>1364</v>
      </c>
    </row>
    <row r="153" spans="1:10" ht="24" thickBot="1">
      <c r="A153" s="891">
        <v>6</v>
      </c>
      <c r="B153" s="892" t="s">
        <v>763</v>
      </c>
      <c r="C153" s="879" t="s">
        <v>754</v>
      </c>
      <c r="D153" s="893" t="s">
        <v>754</v>
      </c>
      <c r="E153" s="879">
        <v>6</v>
      </c>
      <c r="F153" s="893">
        <v>558</v>
      </c>
      <c r="G153" s="894">
        <v>84</v>
      </c>
      <c r="H153" s="888">
        <f>'Развитие жив-ва'!$F$63</f>
        <v>20</v>
      </c>
      <c r="I153" s="895">
        <f>E153*H153</f>
        <v>120</v>
      </c>
      <c r="J153" s="896">
        <f t="shared" si="27"/>
        <v>132</v>
      </c>
    </row>
    <row r="154" spans="1:10" ht="15.75" thickBot="1">
      <c r="A154" s="897"/>
      <c r="B154" s="898" t="s">
        <v>764</v>
      </c>
      <c r="C154" s="899"/>
      <c r="D154" s="900"/>
      <c r="E154" s="899"/>
      <c r="F154" s="901">
        <v>3355</v>
      </c>
      <c r="G154" s="902">
        <v>360.6</v>
      </c>
      <c r="H154" s="903" t="s">
        <v>754</v>
      </c>
      <c r="I154" s="903"/>
      <c r="J154" s="904"/>
    </row>
    <row r="155" spans="1:10" ht="15.75" thickBot="1">
      <c r="A155" s="1378" t="s">
        <v>801</v>
      </c>
      <c r="B155" s="1379"/>
      <c r="C155" s="1379"/>
      <c r="D155" s="1379"/>
      <c r="E155" s="1379"/>
      <c r="F155" s="1379"/>
      <c r="G155" s="1379"/>
      <c r="H155" s="1379"/>
      <c r="I155" s="1379"/>
      <c r="J155" s="1380"/>
    </row>
    <row r="156" spans="1:10" ht="24" thickBot="1">
      <c r="A156" s="887" t="s">
        <v>754</v>
      </c>
      <c r="B156" s="923" t="s">
        <v>755</v>
      </c>
      <c r="C156" s="924" t="s">
        <v>754</v>
      </c>
      <c r="D156" s="901" t="s">
        <v>754</v>
      </c>
      <c r="E156" s="924" t="s">
        <v>754</v>
      </c>
      <c r="F156" s="901" t="s">
        <v>756</v>
      </c>
      <c r="G156" s="902" t="s">
        <v>757</v>
      </c>
      <c r="H156" s="925" t="s">
        <v>754</v>
      </c>
      <c r="I156" s="926" t="s">
        <v>754</v>
      </c>
      <c r="J156" s="901" t="s">
        <v>754</v>
      </c>
    </row>
    <row r="157" spans="1:10" ht="15.75" thickBot="1">
      <c r="A157" s="887">
        <v>1</v>
      </c>
      <c r="B157" s="881" t="s">
        <v>758</v>
      </c>
      <c r="C157" s="882">
        <v>4</v>
      </c>
      <c r="D157" s="883">
        <v>210</v>
      </c>
      <c r="E157" s="882">
        <v>8.4</v>
      </c>
      <c r="F157" s="883">
        <v>389</v>
      </c>
      <c r="G157" s="884">
        <v>43.8</v>
      </c>
      <c r="H157" s="888">
        <f>'Развитие жив-ва'!$F$69</f>
        <v>150</v>
      </c>
      <c r="I157" s="889">
        <f>C157*D157*H157/100</f>
        <v>1260</v>
      </c>
      <c r="J157" s="890">
        <f t="shared" ref="J157:J162" si="28">I157*1.1</f>
        <v>1386</v>
      </c>
    </row>
    <row r="158" spans="1:10" ht="15.75" thickBot="1">
      <c r="A158" s="887">
        <v>2</v>
      </c>
      <c r="B158" s="881" t="s">
        <v>759</v>
      </c>
      <c r="C158" s="882">
        <v>2</v>
      </c>
      <c r="D158" s="883">
        <v>210</v>
      </c>
      <c r="E158" s="882">
        <v>4.2</v>
      </c>
      <c r="F158" s="883">
        <v>92</v>
      </c>
      <c r="G158" s="884">
        <v>4.2</v>
      </c>
      <c r="H158" s="888">
        <f>'Развитие жив-ва'!$F$69</f>
        <v>150</v>
      </c>
      <c r="I158" s="889">
        <f>C158*D158*H158/100</f>
        <v>630</v>
      </c>
      <c r="J158" s="890">
        <f t="shared" si="28"/>
        <v>693</v>
      </c>
    </row>
    <row r="159" spans="1:10" ht="15.75" thickBot="1">
      <c r="A159" s="887">
        <v>3</v>
      </c>
      <c r="B159" s="881" t="s">
        <v>760</v>
      </c>
      <c r="C159" s="882">
        <v>25</v>
      </c>
      <c r="D159" s="883">
        <v>240</v>
      </c>
      <c r="E159" s="882">
        <v>60</v>
      </c>
      <c r="F159" s="883">
        <v>1080</v>
      </c>
      <c r="G159" s="884">
        <v>108</v>
      </c>
      <c r="H159" s="888">
        <f>'Развитие жив-ва'!$F$69</f>
        <v>150</v>
      </c>
      <c r="I159" s="889">
        <f>C159*D159*H159/100</f>
        <v>9000</v>
      </c>
      <c r="J159" s="890">
        <f t="shared" si="28"/>
        <v>9900</v>
      </c>
    </row>
    <row r="160" spans="1:10" ht="15.75" thickBot="1">
      <c r="A160" s="887">
        <v>4</v>
      </c>
      <c r="B160" s="881" t="s">
        <v>761</v>
      </c>
      <c r="C160" s="882">
        <v>5</v>
      </c>
      <c r="D160" s="883">
        <v>200</v>
      </c>
      <c r="E160" s="882">
        <v>10</v>
      </c>
      <c r="F160" s="883">
        <v>120</v>
      </c>
      <c r="G160" s="884">
        <v>9</v>
      </c>
      <c r="H160" s="888">
        <f>'Развитие жив-ва'!$F$69</f>
        <v>150</v>
      </c>
      <c r="I160" s="889">
        <f>C160*D160*H160/100</f>
        <v>1500</v>
      </c>
      <c r="J160" s="890">
        <f t="shared" si="28"/>
        <v>1650.0000000000002</v>
      </c>
    </row>
    <row r="161" spans="1:10" ht="15.75" thickBot="1">
      <c r="A161" s="887">
        <v>5</v>
      </c>
      <c r="B161" s="881" t="s">
        <v>762</v>
      </c>
      <c r="C161" s="882">
        <v>40</v>
      </c>
      <c r="D161" s="883">
        <v>155</v>
      </c>
      <c r="E161" s="882">
        <v>62</v>
      </c>
      <c r="F161" s="883">
        <v>1116</v>
      </c>
      <c r="G161" s="884">
        <v>111.6</v>
      </c>
      <c r="H161" s="888">
        <f>'Развитие жив-ва'!$F$69</f>
        <v>150</v>
      </c>
      <c r="I161" s="889">
        <f>C161*D161*H161/100</f>
        <v>9300</v>
      </c>
      <c r="J161" s="890">
        <f t="shared" si="28"/>
        <v>10230</v>
      </c>
    </row>
    <row r="162" spans="1:10" ht="24" thickBot="1">
      <c r="A162" s="891">
        <v>6</v>
      </c>
      <c r="B162" s="892" t="s">
        <v>763</v>
      </c>
      <c r="C162" s="879" t="s">
        <v>754</v>
      </c>
      <c r="D162" s="893" t="s">
        <v>754</v>
      </c>
      <c r="E162" s="879">
        <v>6</v>
      </c>
      <c r="F162" s="893">
        <v>558</v>
      </c>
      <c r="G162" s="894">
        <v>84</v>
      </c>
      <c r="H162" s="888">
        <f>'Развитие жив-ва'!$F$69</f>
        <v>150</v>
      </c>
      <c r="I162" s="895">
        <f>E162*H162</f>
        <v>900</v>
      </c>
      <c r="J162" s="896">
        <f t="shared" si="28"/>
        <v>990.00000000000011</v>
      </c>
    </row>
    <row r="163" spans="1:10" ht="15.75" thickBot="1">
      <c r="A163" s="897"/>
      <c r="B163" s="898" t="s">
        <v>764</v>
      </c>
      <c r="C163" s="899"/>
      <c r="D163" s="900"/>
      <c r="E163" s="899"/>
      <c r="F163" s="901">
        <v>3355</v>
      </c>
      <c r="G163" s="902">
        <v>360.6</v>
      </c>
      <c r="H163" s="903" t="s">
        <v>754</v>
      </c>
      <c r="I163" s="903"/>
      <c r="J163" s="904"/>
    </row>
    <row r="164" spans="1:10" ht="15.75" thickBot="1">
      <c r="A164" s="1378" t="s">
        <v>802</v>
      </c>
      <c r="B164" s="1379"/>
      <c r="C164" s="1379"/>
      <c r="D164" s="1379"/>
      <c r="E164" s="1379"/>
      <c r="F164" s="1379"/>
      <c r="G164" s="1379"/>
      <c r="H164" s="1379"/>
      <c r="I164" s="1379"/>
      <c r="J164" s="1380"/>
    </row>
    <row r="165" spans="1:10" ht="15.75" thickBot="1">
      <c r="A165" s="887" t="s">
        <v>754</v>
      </c>
      <c r="B165" s="930" t="s">
        <v>755</v>
      </c>
      <c r="C165" s="901" t="s">
        <v>754</v>
      </c>
      <c r="D165" s="931" t="s">
        <v>754</v>
      </c>
      <c r="E165" s="932" t="s">
        <v>754</v>
      </c>
      <c r="F165" s="933" t="s">
        <v>765</v>
      </c>
      <c r="G165" s="934" t="s">
        <v>766</v>
      </c>
      <c r="H165" s="935" t="s">
        <v>754</v>
      </c>
      <c r="I165" s="935" t="s">
        <v>754</v>
      </c>
      <c r="J165" s="935" t="s">
        <v>754</v>
      </c>
    </row>
    <row r="166" spans="1:10" ht="15.75" thickBot="1">
      <c r="A166" s="887">
        <v>1</v>
      </c>
      <c r="B166" s="936" t="s">
        <v>767</v>
      </c>
      <c r="C166" s="924">
        <v>4</v>
      </c>
      <c r="D166" s="901">
        <v>210</v>
      </c>
      <c r="E166" s="902">
        <v>8.4</v>
      </c>
      <c r="F166" s="901">
        <v>389</v>
      </c>
      <c r="G166" s="902">
        <v>44</v>
      </c>
      <c r="H166" s="925">
        <f>'Развитие жив-ва'!$F$72</f>
        <v>5</v>
      </c>
      <c r="I166" s="889">
        <f t="shared" ref="I166:I171" si="29">C166*D166*H166/100</f>
        <v>42</v>
      </c>
      <c r="J166" s="890">
        <f t="shared" ref="J166:J171" si="30">I166*1.1</f>
        <v>46.2</v>
      </c>
    </row>
    <row r="167" spans="1:10" ht="15.75" thickBot="1">
      <c r="A167" s="887">
        <v>2</v>
      </c>
      <c r="B167" s="881" t="s">
        <v>768</v>
      </c>
      <c r="C167" s="882">
        <v>10</v>
      </c>
      <c r="D167" s="883">
        <v>210</v>
      </c>
      <c r="E167" s="882">
        <v>21</v>
      </c>
      <c r="F167" s="883">
        <v>630</v>
      </c>
      <c r="G167" s="884">
        <v>53</v>
      </c>
      <c r="H167" s="925">
        <f>'Развитие жив-ва'!$F$72</f>
        <v>5</v>
      </c>
      <c r="I167" s="889">
        <f t="shared" si="29"/>
        <v>105</v>
      </c>
      <c r="J167" s="890">
        <f t="shared" si="30"/>
        <v>115.50000000000001</v>
      </c>
    </row>
    <row r="168" spans="1:10" ht="15.75" thickBot="1">
      <c r="A168" s="887">
        <v>3</v>
      </c>
      <c r="B168" s="881" t="s">
        <v>760</v>
      </c>
      <c r="C168" s="882">
        <v>14</v>
      </c>
      <c r="D168" s="883">
        <v>240</v>
      </c>
      <c r="E168" s="882">
        <v>33.6</v>
      </c>
      <c r="F168" s="883">
        <v>672</v>
      </c>
      <c r="G168" s="884">
        <v>47</v>
      </c>
      <c r="H168" s="925">
        <f>'Развитие жив-ва'!$F$72</f>
        <v>5</v>
      </c>
      <c r="I168" s="889">
        <f t="shared" si="29"/>
        <v>168</v>
      </c>
      <c r="J168" s="890">
        <f t="shared" si="30"/>
        <v>184.8</v>
      </c>
    </row>
    <row r="169" spans="1:10" ht="15.75" thickBot="1">
      <c r="A169" s="887">
        <v>4</v>
      </c>
      <c r="B169" s="881" t="s">
        <v>769</v>
      </c>
      <c r="C169" s="882">
        <v>8</v>
      </c>
      <c r="D169" s="883">
        <v>200</v>
      </c>
      <c r="E169" s="882">
        <v>16</v>
      </c>
      <c r="F169" s="883">
        <v>480</v>
      </c>
      <c r="G169" s="884">
        <v>26</v>
      </c>
      <c r="H169" s="925">
        <f>'Развитие жив-ва'!$F$72</f>
        <v>5</v>
      </c>
      <c r="I169" s="889">
        <f t="shared" si="29"/>
        <v>80</v>
      </c>
      <c r="J169" s="890">
        <f t="shared" si="30"/>
        <v>88</v>
      </c>
    </row>
    <row r="170" spans="1:10" ht="15.75" thickBot="1">
      <c r="A170" s="887">
        <v>5</v>
      </c>
      <c r="B170" s="881" t="s">
        <v>770</v>
      </c>
      <c r="C170" s="882">
        <v>35</v>
      </c>
      <c r="D170" s="883">
        <v>155</v>
      </c>
      <c r="E170" s="882">
        <v>54.25</v>
      </c>
      <c r="F170" s="883">
        <v>922</v>
      </c>
      <c r="G170" s="884">
        <v>136</v>
      </c>
      <c r="H170" s="925">
        <f>'Развитие жив-ва'!$F$72</f>
        <v>5</v>
      </c>
      <c r="I170" s="889">
        <f t="shared" si="29"/>
        <v>271.25</v>
      </c>
      <c r="J170" s="890">
        <f t="shared" si="30"/>
        <v>298.375</v>
      </c>
    </row>
    <row r="171" spans="1:10" ht="15.75" thickBot="1">
      <c r="A171" s="891">
        <v>6</v>
      </c>
      <c r="B171" s="881" t="s">
        <v>771</v>
      </c>
      <c r="C171" s="882">
        <v>5.5</v>
      </c>
      <c r="D171" s="883">
        <v>365</v>
      </c>
      <c r="E171" s="879">
        <v>20.100000000000001</v>
      </c>
      <c r="F171" s="883">
        <v>2429</v>
      </c>
      <c r="G171" s="884">
        <v>163</v>
      </c>
      <c r="H171" s="925">
        <f>'Развитие жив-ва'!$F$72</f>
        <v>5</v>
      </c>
      <c r="I171" s="889">
        <f t="shared" si="29"/>
        <v>100.375</v>
      </c>
      <c r="J171" s="890">
        <f t="shared" si="30"/>
        <v>110.41250000000001</v>
      </c>
    </row>
    <row r="172" spans="1:10" ht="15.75" thickBot="1">
      <c r="A172" s="1381" t="s">
        <v>764</v>
      </c>
      <c r="B172" s="1382"/>
      <c r="C172" s="882" t="s">
        <v>754</v>
      </c>
      <c r="D172" s="883" t="s">
        <v>754</v>
      </c>
      <c r="E172" s="924" t="s">
        <v>754</v>
      </c>
      <c r="F172" s="883">
        <v>5522</v>
      </c>
      <c r="G172" s="884">
        <v>469</v>
      </c>
      <c r="H172" s="885" t="s">
        <v>754</v>
      </c>
      <c r="I172" s="882" t="s">
        <v>754</v>
      </c>
      <c r="J172" s="883" t="s">
        <v>754</v>
      </c>
    </row>
    <row r="173" spans="1:10" ht="15.75" thickBot="1">
      <c r="A173" s="1391" t="s">
        <v>803</v>
      </c>
      <c r="B173" s="1392"/>
      <c r="C173" s="1392"/>
      <c r="D173" s="1392"/>
      <c r="E173" s="1392"/>
      <c r="F173" s="1392"/>
      <c r="G173" s="1392"/>
      <c r="H173" s="1392"/>
      <c r="I173" s="1392"/>
      <c r="J173" s="1382"/>
    </row>
    <row r="174" spans="1:10">
      <c r="A174" s="1383" t="s">
        <v>754</v>
      </c>
      <c r="B174" s="1385" t="s">
        <v>755</v>
      </c>
      <c r="C174" s="1387" t="s">
        <v>754</v>
      </c>
      <c r="D174" s="1383" t="s">
        <v>754</v>
      </c>
      <c r="E174" s="1383" t="s">
        <v>754</v>
      </c>
      <c r="F174" s="905" t="s">
        <v>772</v>
      </c>
      <c r="G174" s="906" t="s">
        <v>773</v>
      </c>
      <c r="H174" s="1389" t="s">
        <v>754</v>
      </c>
      <c r="I174" s="1387" t="s">
        <v>754</v>
      </c>
      <c r="J174" s="1383" t="s">
        <v>754</v>
      </c>
    </row>
    <row r="175" spans="1:10" ht="15.75" thickBot="1">
      <c r="A175" s="1384"/>
      <c r="B175" s="1386"/>
      <c r="C175" s="1388"/>
      <c r="D175" s="1384"/>
      <c r="E175" s="1384"/>
      <c r="F175" s="907">
        <v>1679</v>
      </c>
      <c r="G175" s="908">
        <v>204</v>
      </c>
      <c r="H175" s="1390"/>
      <c r="I175" s="1388"/>
      <c r="J175" s="1384"/>
    </row>
    <row r="176" spans="1:10" ht="15.75" thickBot="1">
      <c r="A176" s="909" t="s">
        <v>774</v>
      </c>
      <c r="B176" s="910" t="s">
        <v>775</v>
      </c>
      <c r="C176" s="911">
        <v>1.5</v>
      </c>
      <c r="D176" s="907">
        <v>365</v>
      </c>
      <c r="E176" s="912">
        <f t="shared" ref="E176:E181" si="31">C176*D176/100</f>
        <v>5.4749999999999996</v>
      </c>
      <c r="F176" s="907">
        <v>547</v>
      </c>
      <c r="G176" s="908">
        <v>44.3</v>
      </c>
      <c r="H176" s="913">
        <f>'Развитие жив-ва'!$F$71</f>
        <v>70</v>
      </c>
      <c r="I176" s="889">
        <f t="shared" ref="I176:I181" si="32">C176*D176*H176/100</f>
        <v>383.25</v>
      </c>
      <c r="J176" s="914">
        <f t="shared" ref="J176:J181" si="33">I176*1.1</f>
        <v>421.57500000000005</v>
      </c>
    </row>
    <row r="177" spans="1:10" ht="15.75" thickBot="1">
      <c r="A177" s="909" t="s">
        <v>776</v>
      </c>
      <c r="B177" s="910" t="s">
        <v>777</v>
      </c>
      <c r="C177" s="911">
        <v>0.5</v>
      </c>
      <c r="D177" s="907">
        <v>365</v>
      </c>
      <c r="E177" s="912">
        <f t="shared" si="31"/>
        <v>1.825</v>
      </c>
      <c r="F177" s="907">
        <v>130</v>
      </c>
      <c r="G177" s="908">
        <v>30</v>
      </c>
      <c r="H177" s="913">
        <f>'Развитие жив-ва'!$F$71</f>
        <v>70</v>
      </c>
      <c r="I177" s="889">
        <f t="shared" si="32"/>
        <v>127.75</v>
      </c>
      <c r="J177" s="914">
        <f t="shared" si="33"/>
        <v>140.52500000000001</v>
      </c>
    </row>
    <row r="178" spans="1:10" ht="15.75" thickBot="1">
      <c r="A178" s="909" t="s">
        <v>778</v>
      </c>
      <c r="B178" s="910" t="s">
        <v>779</v>
      </c>
      <c r="C178" s="911">
        <v>0.4</v>
      </c>
      <c r="D178" s="907">
        <v>365</v>
      </c>
      <c r="E178" s="912">
        <f t="shared" si="31"/>
        <v>1.46</v>
      </c>
      <c r="F178" s="907">
        <v>153</v>
      </c>
      <c r="G178" s="908">
        <v>54</v>
      </c>
      <c r="H178" s="913">
        <f>'Развитие жив-ва'!$F$71</f>
        <v>70</v>
      </c>
      <c r="I178" s="889">
        <f t="shared" si="32"/>
        <v>102.2</v>
      </c>
      <c r="J178" s="914">
        <f t="shared" si="33"/>
        <v>112.42000000000002</v>
      </c>
    </row>
    <row r="179" spans="1:10" ht="15.75" thickBot="1">
      <c r="A179" s="909" t="s">
        <v>780</v>
      </c>
      <c r="B179" s="910" t="s">
        <v>781</v>
      </c>
      <c r="C179" s="911">
        <v>0.2</v>
      </c>
      <c r="D179" s="907">
        <v>365</v>
      </c>
      <c r="E179" s="912">
        <f t="shared" si="31"/>
        <v>0.73</v>
      </c>
      <c r="F179" s="907">
        <v>85.4</v>
      </c>
      <c r="G179" s="908">
        <v>14.2</v>
      </c>
      <c r="H179" s="913">
        <f>'Развитие жив-ва'!$F$71</f>
        <v>70</v>
      </c>
      <c r="I179" s="889">
        <f t="shared" si="32"/>
        <v>51.1</v>
      </c>
      <c r="J179" s="914">
        <f t="shared" si="33"/>
        <v>56.210000000000008</v>
      </c>
    </row>
    <row r="180" spans="1:10" ht="15.75" thickBot="1">
      <c r="A180" s="909" t="s">
        <v>782</v>
      </c>
      <c r="B180" s="910" t="s">
        <v>783</v>
      </c>
      <c r="C180" s="911">
        <v>5</v>
      </c>
      <c r="D180" s="907">
        <v>365</v>
      </c>
      <c r="E180" s="912">
        <f t="shared" si="31"/>
        <v>18.25</v>
      </c>
      <c r="F180" s="907">
        <v>548</v>
      </c>
      <c r="G180" s="908">
        <v>29.2</v>
      </c>
      <c r="H180" s="913">
        <f>'Развитие жив-ва'!$F$71</f>
        <v>70</v>
      </c>
      <c r="I180" s="889">
        <f t="shared" si="32"/>
        <v>1277.5</v>
      </c>
      <c r="J180" s="914">
        <f t="shared" si="33"/>
        <v>1405.25</v>
      </c>
    </row>
    <row r="181" spans="1:10" ht="15.75" thickBot="1">
      <c r="A181" s="915" t="s">
        <v>784</v>
      </c>
      <c r="B181" s="916" t="s">
        <v>785</v>
      </c>
      <c r="C181" s="917">
        <v>0.5</v>
      </c>
      <c r="D181" s="915">
        <v>365</v>
      </c>
      <c r="E181" s="912">
        <f t="shared" si="31"/>
        <v>1.825</v>
      </c>
      <c r="F181" s="915">
        <v>124</v>
      </c>
      <c r="G181" s="918">
        <v>22.4</v>
      </c>
      <c r="H181" s="913">
        <f>'Развитие жив-ва'!$F$71</f>
        <v>70</v>
      </c>
      <c r="I181" s="889">
        <f t="shared" si="32"/>
        <v>127.75</v>
      </c>
      <c r="J181" s="914">
        <f t="shared" si="33"/>
        <v>140.52500000000001</v>
      </c>
    </row>
    <row r="182" spans="1:10" ht="15.75" thickBot="1">
      <c r="A182" s="919"/>
      <c r="B182" s="920" t="s">
        <v>764</v>
      </c>
      <c r="C182" s="921"/>
      <c r="D182" s="919"/>
      <c r="E182" s="921"/>
      <c r="F182" s="907">
        <f>SUM(F176:F181)</f>
        <v>1587.4</v>
      </c>
      <c r="G182" s="907">
        <f>SUM(G176:G181)</f>
        <v>194.1</v>
      </c>
      <c r="H182" s="885" t="s">
        <v>754</v>
      </c>
      <c r="I182" s="882" t="s">
        <v>754</v>
      </c>
      <c r="J182" s="883" t="s">
        <v>754</v>
      </c>
    </row>
    <row r="183" spans="1:10" ht="15.75" thickBot="1">
      <c r="A183" s="1378" t="s">
        <v>804</v>
      </c>
      <c r="B183" s="1379"/>
      <c r="C183" s="1379"/>
      <c r="D183" s="1379"/>
      <c r="E183" s="1379"/>
      <c r="F183" s="1379"/>
      <c r="G183" s="1379"/>
      <c r="H183" s="1379"/>
      <c r="I183" s="1379"/>
      <c r="J183" s="1380"/>
    </row>
    <row r="184" spans="1:10" ht="24" thickBot="1">
      <c r="A184" s="887" t="s">
        <v>754</v>
      </c>
      <c r="B184" s="923" t="s">
        <v>755</v>
      </c>
      <c r="C184" s="924" t="s">
        <v>754</v>
      </c>
      <c r="D184" s="901" t="s">
        <v>754</v>
      </c>
      <c r="E184" s="924" t="s">
        <v>754</v>
      </c>
      <c r="F184" s="901" t="s">
        <v>756</v>
      </c>
      <c r="G184" s="902" t="s">
        <v>757</v>
      </c>
      <c r="H184" s="925" t="s">
        <v>754</v>
      </c>
      <c r="I184" s="926" t="s">
        <v>754</v>
      </c>
      <c r="J184" s="901" t="s">
        <v>754</v>
      </c>
    </row>
    <row r="185" spans="1:10" ht="15.75" thickBot="1">
      <c r="A185" s="887">
        <v>1</v>
      </c>
      <c r="B185" s="881" t="s">
        <v>758</v>
      </c>
      <c r="C185" s="882">
        <v>4</v>
      </c>
      <c r="D185" s="883">
        <v>210</v>
      </c>
      <c r="E185" s="882">
        <v>8.4</v>
      </c>
      <c r="F185" s="883">
        <v>389</v>
      </c>
      <c r="G185" s="884">
        <v>43.8</v>
      </c>
      <c r="H185" s="888">
        <f>'Развитие жив-ва'!$F$77</f>
        <v>250</v>
      </c>
      <c r="I185" s="889">
        <f>C185*D185*H185/100</f>
        <v>2100</v>
      </c>
      <c r="J185" s="890">
        <f t="shared" ref="J185:J190" si="34">I185*1.1</f>
        <v>2310</v>
      </c>
    </row>
    <row r="186" spans="1:10" ht="15.75" thickBot="1">
      <c r="A186" s="887">
        <v>2</v>
      </c>
      <c r="B186" s="881" t="s">
        <v>759</v>
      </c>
      <c r="C186" s="882">
        <v>2</v>
      </c>
      <c r="D186" s="883">
        <v>210</v>
      </c>
      <c r="E186" s="882">
        <v>4.2</v>
      </c>
      <c r="F186" s="883">
        <v>92</v>
      </c>
      <c r="G186" s="884">
        <v>4.2</v>
      </c>
      <c r="H186" s="888">
        <f>'Развитие жив-ва'!$F$77</f>
        <v>250</v>
      </c>
      <c r="I186" s="889">
        <f>C186*D186*H186/100</f>
        <v>1050</v>
      </c>
      <c r="J186" s="890">
        <f t="shared" si="34"/>
        <v>1155</v>
      </c>
    </row>
    <row r="187" spans="1:10" ht="15.75" thickBot="1">
      <c r="A187" s="887">
        <v>3</v>
      </c>
      <c r="B187" s="881" t="s">
        <v>760</v>
      </c>
      <c r="C187" s="882">
        <v>25</v>
      </c>
      <c r="D187" s="883">
        <v>240</v>
      </c>
      <c r="E187" s="882">
        <v>60</v>
      </c>
      <c r="F187" s="883">
        <v>1080</v>
      </c>
      <c r="G187" s="884">
        <v>108</v>
      </c>
      <c r="H187" s="888">
        <f>'Развитие жив-ва'!$F$77</f>
        <v>250</v>
      </c>
      <c r="I187" s="889">
        <f>C187*D187*H187/100</f>
        <v>15000</v>
      </c>
      <c r="J187" s="890">
        <f t="shared" si="34"/>
        <v>16500</v>
      </c>
    </row>
    <row r="188" spans="1:10" ht="15.75" thickBot="1">
      <c r="A188" s="887">
        <v>4</v>
      </c>
      <c r="B188" s="881" t="s">
        <v>761</v>
      </c>
      <c r="C188" s="882">
        <v>5</v>
      </c>
      <c r="D188" s="883">
        <v>200</v>
      </c>
      <c r="E188" s="882">
        <v>10</v>
      </c>
      <c r="F188" s="883">
        <v>120</v>
      </c>
      <c r="G188" s="884">
        <v>9</v>
      </c>
      <c r="H188" s="888">
        <f>'Развитие жив-ва'!$F$77</f>
        <v>250</v>
      </c>
      <c r="I188" s="889">
        <f>C188*D188*H188/100</f>
        <v>2500</v>
      </c>
      <c r="J188" s="890">
        <f t="shared" si="34"/>
        <v>2750</v>
      </c>
    </row>
    <row r="189" spans="1:10" ht="15.75" thickBot="1">
      <c r="A189" s="887">
        <v>5</v>
      </c>
      <c r="B189" s="881" t="s">
        <v>762</v>
      </c>
      <c r="C189" s="882">
        <v>40</v>
      </c>
      <c r="D189" s="883">
        <v>155</v>
      </c>
      <c r="E189" s="882">
        <v>62</v>
      </c>
      <c r="F189" s="883">
        <v>1116</v>
      </c>
      <c r="G189" s="884">
        <v>111.6</v>
      </c>
      <c r="H189" s="888">
        <f>'Развитие жив-ва'!$F$77</f>
        <v>250</v>
      </c>
      <c r="I189" s="889">
        <f>C189*D189*H189/100</f>
        <v>15500</v>
      </c>
      <c r="J189" s="890">
        <f t="shared" si="34"/>
        <v>17050</v>
      </c>
    </row>
    <row r="190" spans="1:10" ht="24" thickBot="1">
      <c r="A190" s="891">
        <v>6</v>
      </c>
      <c r="B190" s="892" t="s">
        <v>763</v>
      </c>
      <c r="C190" s="879" t="s">
        <v>754</v>
      </c>
      <c r="D190" s="893" t="s">
        <v>754</v>
      </c>
      <c r="E190" s="879">
        <v>6</v>
      </c>
      <c r="F190" s="893">
        <v>558</v>
      </c>
      <c r="G190" s="894">
        <v>84</v>
      </c>
      <c r="H190" s="888">
        <f>'Развитие жив-ва'!$F$77</f>
        <v>250</v>
      </c>
      <c r="I190" s="895">
        <f>E190*H190</f>
        <v>1500</v>
      </c>
      <c r="J190" s="896">
        <f t="shared" si="34"/>
        <v>1650.0000000000002</v>
      </c>
    </row>
    <row r="191" spans="1:10" ht="15.75" thickBot="1">
      <c r="A191" s="897"/>
      <c r="B191" s="898" t="s">
        <v>764</v>
      </c>
      <c r="C191" s="899"/>
      <c r="D191" s="900"/>
      <c r="E191" s="899"/>
      <c r="F191" s="901">
        <v>3355</v>
      </c>
      <c r="G191" s="902">
        <v>360.6</v>
      </c>
      <c r="H191" s="903" t="s">
        <v>754</v>
      </c>
      <c r="I191" s="903"/>
      <c r="J191" s="904"/>
    </row>
    <row r="192" spans="1:10" ht="15.75" thickBot="1">
      <c r="A192" s="1378" t="s">
        <v>805</v>
      </c>
      <c r="B192" s="1379"/>
      <c r="C192" s="1379"/>
      <c r="D192" s="1379"/>
      <c r="E192" s="1379"/>
      <c r="F192" s="1379"/>
      <c r="G192" s="1379"/>
      <c r="H192" s="1379"/>
      <c r="I192" s="1379"/>
      <c r="J192" s="1380"/>
    </row>
    <row r="193" spans="1:10" ht="15.75" thickBot="1">
      <c r="A193" s="887" t="s">
        <v>754</v>
      </c>
      <c r="B193" s="930" t="s">
        <v>755</v>
      </c>
      <c r="C193" s="901" t="s">
        <v>754</v>
      </c>
      <c r="D193" s="931" t="s">
        <v>754</v>
      </c>
      <c r="E193" s="932" t="s">
        <v>754</v>
      </c>
      <c r="F193" s="933" t="s">
        <v>765</v>
      </c>
      <c r="G193" s="934" t="s">
        <v>766</v>
      </c>
      <c r="H193" s="935" t="s">
        <v>754</v>
      </c>
      <c r="I193" s="935" t="s">
        <v>754</v>
      </c>
      <c r="J193" s="935" t="s">
        <v>754</v>
      </c>
    </row>
    <row r="194" spans="1:10" ht="15.75" thickBot="1">
      <c r="A194" s="887">
        <v>1</v>
      </c>
      <c r="B194" s="936" t="s">
        <v>767</v>
      </c>
      <c r="C194" s="924">
        <v>4</v>
      </c>
      <c r="D194" s="901">
        <v>210</v>
      </c>
      <c r="E194" s="902">
        <v>8.4</v>
      </c>
      <c r="F194" s="901">
        <v>389</v>
      </c>
      <c r="G194" s="902">
        <v>44</v>
      </c>
      <c r="H194" s="925">
        <f>'Развитие жив-ва'!$F$79</f>
        <v>25</v>
      </c>
      <c r="I194" s="889">
        <f t="shared" ref="I194:I199" si="35">C194*D194*H194/100</f>
        <v>210</v>
      </c>
      <c r="J194" s="890">
        <f t="shared" ref="J194:J199" si="36">I194*1.1</f>
        <v>231.00000000000003</v>
      </c>
    </row>
    <row r="195" spans="1:10" ht="15.75" thickBot="1">
      <c r="A195" s="887">
        <v>2</v>
      </c>
      <c r="B195" s="881" t="s">
        <v>768</v>
      </c>
      <c r="C195" s="882">
        <v>10</v>
      </c>
      <c r="D195" s="883">
        <v>210</v>
      </c>
      <c r="E195" s="882">
        <v>21</v>
      </c>
      <c r="F195" s="883">
        <v>630</v>
      </c>
      <c r="G195" s="884">
        <v>53</v>
      </c>
      <c r="H195" s="925">
        <f>'Развитие жив-ва'!$F$79</f>
        <v>25</v>
      </c>
      <c r="I195" s="889">
        <f t="shared" si="35"/>
        <v>525</v>
      </c>
      <c r="J195" s="890">
        <f t="shared" si="36"/>
        <v>577.5</v>
      </c>
    </row>
    <row r="196" spans="1:10" ht="15.75" thickBot="1">
      <c r="A196" s="887">
        <v>3</v>
      </c>
      <c r="B196" s="881" t="s">
        <v>760</v>
      </c>
      <c r="C196" s="882">
        <v>14</v>
      </c>
      <c r="D196" s="883">
        <v>240</v>
      </c>
      <c r="E196" s="882">
        <v>33.6</v>
      </c>
      <c r="F196" s="883">
        <v>672</v>
      </c>
      <c r="G196" s="884">
        <v>47</v>
      </c>
      <c r="H196" s="925">
        <f>'Развитие жив-ва'!$F$79</f>
        <v>25</v>
      </c>
      <c r="I196" s="889">
        <f t="shared" si="35"/>
        <v>840</v>
      </c>
      <c r="J196" s="890">
        <f t="shared" si="36"/>
        <v>924.00000000000011</v>
      </c>
    </row>
    <row r="197" spans="1:10" ht="15.75" thickBot="1">
      <c r="A197" s="887">
        <v>4</v>
      </c>
      <c r="B197" s="881" t="s">
        <v>769</v>
      </c>
      <c r="C197" s="882">
        <v>8</v>
      </c>
      <c r="D197" s="883">
        <v>200</v>
      </c>
      <c r="E197" s="882">
        <v>16</v>
      </c>
      <c r="F197" s="883">
        <v>480</v>
      </c>
      <c r="G197" s="884">
        <v>26</v>
      </c>
      <c r="H197" s="925">
        <f>'Развитие жив-ва'!$F$79</f>
        <v>25</v>
      </c>
      <c r="I197" s="889">
        <f t="shared" si="35"/>
        <v>400</v>
      </c>
      <c r="J197" s="890">
        <f t="shared" si="36"/>
        <v>440.00000000000006</v>
      </c>
    </row>
    <row r="198" spans="1:10" ht="15.75" thickBot="1">
      <c r="A198" s="887">
        <v>5</v>
      </c>
      <c r="B198" s="881" t="s">
        <v>770</v>
      </c>
      <c r="C198" s="882">
        <v>35</v>
      </c>
      <c r="D198" s="883">
        <v>155</v>
      </c>
      <c r="E198" s="882">
        <v>54.25</v>
      </c>
      <c r="F198" s="883">
        <v>922</v>
      </c>
      <c r="G198" s="884">
        <v>136</v>
      </c>
      <c r="H198" s="925">
        <f>'Развитие жив-ва'!$F$79</f>
        <v>25</v>
      </c>
      <c r="I198" s="889">
        <f t="shared" si="35"/>
        <v>1356.25</v>
      </c>
      <c r="J198" s="890">
        <f t="shared" si="36"/>
        <v>1491.8750000000002</v>
      </c>
    </row>
    <row r="199" spans="1:10" ht="15.75" thickBot="1">
      <c r="A199" s="891">
        <v>6</v>
      </c>
      <c r="B199" s="881" t="s">
        <v>771</v>
      </c>
      <c r="C199" s="882">
        <v>5.5</v>
      </c>
      <c r="D199" s="883">
        <v>365</v>
      </c>
      <c r="E199" s="879">
        <v>20.100000000000001</v>
      </c>
      <c r="F199" s="883">
        <v>2429</v>
      </c>
      <c r="G199" s="884">
        <v>163</v>
      </c>
      <c r="H199" s="925">
        <f>'Развитие жив-ва'!$F$79</f>
        <v>25</v>
      </c>
      <c r="I199" s="889">
        <f t="shared" si="35"/>
        <v>501.875</v>
      </c>
      <c r="J199" s="890">
        <f t="shared" si="36"/>
        <v>552.0625</v>
      </c>
    </row>
    <row r="200" spans="1:10" ht="15.75" thickBot="1">
      <c r="A200" s="1381" t="s">
        <v>764</v>
      </c>
      <c r="B200" s="1382"/>
      <c r="C200" s="882" t="s">
        <v>754</v>
      </c>
      <c r="D200" s="883" t="s">
        <v>754</v>
      </c>
      <c r="E200" s="924" t="s">
        <v>754</v>
      </c>
      <c r="F200" s="883">
        <v>5522</v>
      </c>
      <c r="G200" s="884">
        <v>469</v>
      </c>
      <c r="H200" s="885" t="s">
        <v>754</v>
      </c>
      <c r="I200" s="882" t="s">
        <v>754</v>
      </c>
      <c r="J200" s="883" t="s">
        <v>754</v>
      </c>
    </row>
  </sheetData>
  <mergeCells count="80">
    <mergeCell ref="A35:J35"/>
    <mergeCell ref="A44:J44"/>
    <mergeCell ref="A52:B52"/>
    <mergeCell ref="A99:B99"/>
    <mergeCell ref="A73:J73"/>
    <mergeCell ref="A82:J82"/>
    <mergeCell ref="A63:J63"/>
    <mergeCell ref="A54:J54"/>
    <mergeCell ref="A62:B62"/>
    <mergeCell ref="A16:J16"/>
    <mergeCell ref="A2:A5"/>
    <mergeCell ref="B2:B5"/>
    <mergeCell ref="C2:C5"/>
    <mergeCell ref="D2:D5"/>
    <mergeCell ref="E2:E5"/>
    <mergeCell ref="F2:G3"/>
    <mergeCell ref="H7:H8"/>
    <mergeCell ref="I7:I8"/>
    <mergeCell ref="J7:J8"/>
    <mergeCell ref="H2:H5"/>
    <mergeCell ref="I2:I5"/>
    <mergeCell ref="J2:J5"/>
    <mergeCell ref="F4:F5"/>
    <mergeCell ref="G4:G5"/>
    <mergeCell ref="A100:J100"/>
    <mergeCell ref="A101:A102"/>
    <mergeCell ref="A64:A65"/>
    <mergeCell ref="B64:B65"/>
    <mergeCell ref="C64:C65"/>
    <mergeCell ref="D64:D65"/>
    <mergeCell ref="E64:E65"/>
    <mergeCell ref="H64:H65"/>
    <mergeCell ref="I64:I65"/>
    <mergeCell ref="J64:J65"/>
    <mergeCell ref="A91:J91"/>
    <mergeCell ref="I1:J1"/>
    <mergeCell ref="A25:J25"/>
    <mergeCell ref="A26:A27"/>
    <mergeCell ref="B26:B27"/>
    <mergeCell ref="C26:C27"/>
    <mergeCell ref="D26:D27"/>
    <mergeCell ref="E26:E27"/>
    <mergeCell ref="H26:H27"/>
    <mergeCell ref="I26:I27"/>
    <mergeCell ref="J26:J27"/>
    <mergeCell ref="A6:J6"/>
    <mergeCell ref="A7:A8"/>
    <mergeCell ref="B7:B8"/>
    <mergeCell ref="C7:C8"/>
    <mergeCell ref="D7:D8"/>
    <mergeCell ref="E7:E8"/>
    <mergeCell ref="A200:B200"/>
    <mergeCell ref="A155:J155"/>
    <mergeCell ref="A164:J164"/>
    <mergeCell ref="A172:B172"/>
    <mergeCell ref="A173:J173"/>
    <mergeCell ref="A174:A175"/>
    <mergeCell ref="B174:B175"/>
    <mergeCell ref="C174:C175"/>
    <mergeCell ref="D174:D175"/>
    <mergeCell ref="E174:E175"/>
    <mergeCell ref="H174:H175"/>
    <mergeCell ref="I174:I175"/>
    <mergeCell ref="J174:J175"/>
    <mergeCell ref="A183:J183"/>
    <mergeCell ref="A192:J192"/>
    <mergeCell ref="A137:J137"/>
    <mergeCell ref="A145:B145"/>
    <mergeCell ref="A146:J146"/>
    <mergeCell ref="J101:J102"/>
    <mergeCell ref="A110:J110"/>
    <mergeCell ref="B101:B102"/>
    <mergeCell ref="C101:C102"/>
    <mergeCell ref="D101:D102"/>
    <mergeCell ref="E101:E102"/>
    <mergeCell ref="H101:H102"/>
    <mergeCell ref="I101:I102"/>
    <mergeCell ref="A119:J119"/>
    <mergeCell ref="A127:B127"/>
    <mergeCell ref="A128:J128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200"/>
  <sheetViews>
    <sheetView workbookViewId="0">
      <selection activeCell="D20" sqref="D20"/>
    </sheetView>
  </sheetViews>
  <sheetFormatPr defaultRowHeight="15"/>
  <cols>
    <col min="1" max="1" width="9.140625" style="815"/>
    <col min="2" max="2" width="20.5703125" style="815" customWidth="1"/>
    <col min="3" max="3" width="6" style="815" customWidth="1"/>
    <col min="4" max="4" width="6.7109375" style="815" customWidth="1"/>
    <col min="5" max="5" width="6.85546875" style="815" customWidth="1"/>
    <col min="6" max="7" width="9.140625" style="815"/>
    <col min="8" max="9" width="10.85546875" style="815" customWidth="1"/>
    <col min="10" max="10" width="12.7109375" style="815" customWidth="1"/>
    <col min="11" max="16384" width="9.140625" style="815"/>
  </cols>
  <sheetData>
    <row r="1" spans="1:10" ht="15.75" thickBot="1">
      <c r="A1" s="864"/>
      <c r="B1" s="864"/>
      <c r="C1" s="864"/>
      <c r="D1" s="864"/>
      <c r="E1" s="864"/>
      <c r="F1" s="864"/>
      <c r="G1" s="864"/>
      <c r="H1" s="864"/>
      <c r="I1" s="1393"/>
      <c r="J1" s="1393"/>
    </row>
    <row r="2" spans="1:10">
      <c r="A2" s="1383" t="s">
        <v>126</v>
      </c>
      <c r="B2" s="1423" t="s">
        <v>744</v>
      </c>
      <c r="C2" s="1425" t="s">
        <v>745</v>
      </c>
      <c r="D2" s="1427" t="s">
        <v>746</v>
      </c>
      <c r="E2" s="1427" t="s">
        <v>747</v>
      </c>
      <c r="F2" s="1430" t="s">
        <v>748</v>
      </c>
      <c r="G2" s="1431"/>
      <c r="H2" s="1431" t="s">
        <v>749</v>
      </c>
      <c r="I2" s="1435" t="s">
        <v>750</v>
      </c>
      <c r="J2" s="1437" t="s">
        <v>751</v>
      </c>
    </row>
    <row r="3" spans="1:10" ht="15.75" thickBot="1">
      <c r="A3" s="1394"/>
      <c r="B3" s="1424"/>
      <c r="C3" s="1426"/>
      <c r="D3" s="1428"/>
      <c r="E3" s="1429"/>
      <c r="F3" s="1432"/>
      <c r="G3" s="1433"/>
      <c r="H3" s="1434"/>
      <c r="I3" s="1436"/>
      <c r="J3" s="1438"/>
    </row>
    <row r="4" spans="1:10">
      <c r="A4" s="1394"/>
      <c r="B4" s="1424"/>
      <c r="C4" s="1426"/>
      <c r="D4" s="1428"/>
      <c r="E4" s="1429"/>
      <c r="F4" s="1419" t="s">
        <v>752</v>
      </c>
      <c r="G4" s="1419" t="s">
        <v>753</v>
      </c>
      <c r="H4" s="1434"/>
      <c r="I4" s="1436"/>
      <c r="J4" s="1438"/>
    </row>
    <row r="5" spans="1:10" ht="29.25" customHeight="1" thickBot="1">
      <c r="A5" s="1394"/>
      <c r="B5" s="1424"/>
      <c r="C5" s="1426"/>
      <c r="D5" s="1428"/>
      <c r="E5" s="1429"/>
      <c r="F5" s="1420"/>
      <c r="G5" s="1420"/>
      <c r="H5" s="1434"/>
      <c r="I5" s="1436"/>
      <c r="J5" s="1438"/>
    </row>
    <row r="6" spans="1:10" ht="17.25" customHeight="1" thickBot="1">
      <c r="A6" s="1391" t="s">
        <v>862</v>
      </c>
      <c r="B6" s="1392"/>
      <c r="C6" s="1392"/>
      <c r="D6" s="1392"/>
      <c r="E6" s="1392"/>
      <c r="F6" s="1392"/>
      <c r="G6" s="1392"/>
      <c r="H6" s="1392"/>
      <c r="I6" s="1392"/>
      <c r="J6" s="1382"/>
    </row>
    <row r="7" spans="1:10" ht="17.25" customHeight="1">
      <c r="A7" s="1383" t="s">
        <v>754</v>
      </c>
      <c r="B7" s="1385" t="s">
        <v>755</v>
      </c>
      <c r="C7" s="1387" t="s">
        <v>754</v>
      </c>
      <c r="D7" s="1383" t="s">
        <v>754</v>
      </c>
      <c r="E7" s="1383" t="s">
        <v>754</v>
      </c>
      <c r="F7" s="1011" t="s">
        <v>772</v>
      </c>
      <c r="G7" s="906" t="s">
        <v>773</v>
      </c>
      <c r="H7" s="1389" t="s">
        <v>754</v>
      </c>
      <c r="I7" s="1387" t="s">
        <v>754</v>
      </c>
      <c r="J7" s="1383" t="s">
        <v>754</v>
      </c>
    </row>
    <row r="8" spans="1:10" ht="17.25" customHeight="1" thickBot="1">
      <c r="A8" s="1384"/>
      <c r="B8" s="1386"/>
      <c r="C8" s="1388"/>
      <c r="D8" s="1384"/>
      <c r="E8" s="1384"/>
      <c r="F8" s="1009">
        <v>1679</v>
      </c>
      <c r="G8" s="908">
        <v>204</v>
      </c>
      <c r="H8" s="1390"/>
      <c r="I8" s="1388"/>
      <c r="J8" s="1384"/>
    </row>
    <row r="9" spans="1:10" ht="17.25" customHeight="1" thickBot="1">
      <c r="A9" s="909" t="s">
        <v>774</v>
      </c>
      <c r="B9" s="1010" t="s">
        <v>775</v>
      </c>
      <c r="C9" s="911">
        <v>1.5</v>
      </c>
      <c r="D9" s="1009">
        <v>365</v>
      </c>
      <c r="E9" s="912">
        <f t="shared" ref="E9:E14" si="0">C9*D9/100</f>
        <v>5.4749999999999996</v>
      </c>
      <c r="F9" s="1009">
        <v>547</v>
      </c>
      <c r="G9" s="908">
        <v>44.3</v>
      </c>
      <c r="H9" s="1032">
        <f>'Развитие жив-ва'!$G$4</f>
        <v>125000</v>
      </c>
      <c r="I9" s="889">
        <f t="shared" ref="I9:I14" si="1">C9*D9*H9/100</f>
        <v>684375</v>
      </c>
      <c r="J9" s="914">
        <f t="shared" ref="J9:J14" si="2">I9*1.1</f>
        <v>752812.50000000012</v>
      </c>
    </row>
    <row r="10" spans="1:10" ht="17.25" customHeight="1" thickBot="1">
      <c r="A10" s="909" t="s">
        <v>776</v>
      </c>
      <c r="B10" s="1010" t="s">
        <v>777</v>
      </c>
      <c r="C10" s="911">
        <v>0.5</v>
      </c>
      <c r="D10" s="1009">
        <v>365</v>
      </c>
      <c r="E10" s="912">
        <f t="shared" si="0"/>
        <v>1.825</v>
      </c>
      <c r="F10" s="1009">
        <v>130</v>
      </c>
      <c r="G10" s="908">
        <v>30</v>
      </c>
      <c r="H10" s="1032">
        <f>'Развитие жив-ва'!$G$4</f>
        <v>125000</v>
      </c>
      <c r="I10" s="889">
        <f t="shared" si="1"/>
        <v>228125</v>
      </c>
      <c r="J10" s="914">
        <f t="shared" si="2"/>
        <v>250937.50000000003</v>
      </c>
    </row>
    <row r="11" spans="1:10" ht="17.25" customHeight="1" thickBot="1">
      <c r="A11" s="909" t="s">
        <v>778</v>
      </c>
      <c r="B11" s="1010" t="s">
        <v>779</v>
      </c>
      <c r="C11" s="911">
        <v>0.4</v>
      </c>
      <c r="D11" s="1009">
        <v>365</v>
      </c>
      <c r="E11" s="912">
        <f t="shared" si="0"/>
        <v>1.46</v>
      </c>
      <c r="F11" s="1009">
        <v>153</v>
      </c>
      <c r="G11" s="908">
        <v>54</v>
      </c>
      <c r="H11" s="1032">
        <f>'Развитие жив-ва'!$G$4</f>
        <v>125000</v>
      </c>
      <c r="I11" s="889">
        <f t="shared" si="1"/>
        <v>182500</v>
      </c>
      <c r="J11" s="914">
        <f t="shared" si="2"/>
        <v>200750.00000000003</v>
      </c>
    </row>
    <row r="12" spans="1:10" ht="17.25" customHeight="1" thickBot="1">
      <c r="A12" s="909" t="s">
        <v>780</v>
      </c>
      <c r="B12" s="1010" t="s">
        <v>781</v>
      </c>
      <c r="C12" s="911">
        <v>0.2</v>
      </c>
      <c r="D12" s="1009">
        <v>365</v>
      </c>
      <c r="E12" s="912">
        <f t="shared" si="0"/>
        <v>0.73</v>
      </c>
      <c r="F12" s="1009">
        <v>85.4</v>
      </c>
      <c r="G12" s="908">
        <v>14.2</v>
      </c>
      <c r="H12" s="1032">
        <f>'Развитие жив-ва'!$G$4</f>
        <v>125000</v>
      </c>
      <c r="I12" s="889">
        <f t="shared" si="1"/>
        <v>91250</v>
      </c>
      <c r="J12" s="914">
        <f t="shared" si="2"/>
        <v>100375.00000000001</v>
      </c>
    </row>
    <row r="13" spans="1:10" ht="17.25" customHeight="1" thickBot="1">
      <c r="A13" s="909" t="s">
        <v>782</v>
      </c>
      <c r="B13" s="1010" t="s">
        <v>783</v>
      </c>
      <c r="C13" s="911">
        <v>5</v>
      </c>
      <c r="D13" s="1009">
        <v>365</v>
      </c>
      <c r="E13" s="912">
        <f t="shared" si="0"/>
        <v>18.25</v>
      </c>
      <c r="F13" s="1009">
        <v>548</v>
      </c>
      <c r="G13" s="908">
        <v>29.2</v>
      </c>
      <c r="H13" s="1032">
        <f>'Развитие жив-ва'!$G$4</f>
        <v>125000</v>
      </c>
      <c r="I13" s="889">
        <f t="shared" si="1"/>
        <v>2281250</v>
      </c>
      <c r="J13" s="914">
        <f t="shared" si="2"/>
        <v>2509375</v>
      </c>
    </row>
    <row r="14" spans="1:10" ht="17.25" customHeight="1" thickBot="1">
      <c r="A14" s="915" t="s">
        <v>784</v>
      </c>
      <c r="B14" s="916" t="s">
        <v>785</v>
      </c>
      <c r="C14" s="917">
        <v>0.5</v>
      </c>
      <c r="D14" s="915">
        <v>365</v>
      </c>
      <c r="E14" s="912">
        <f t="shared" si="0"/>
        <v>1.825</v>
      </c>
      <c r="F14" s="915">
        <v>124</v>
      </c>
      <c r="G14" s="918">
        <v>22.4</v>
      </c>
      <c r="H14" s="1032">
        <f>'Развитие жив-ва'!$G$4</f>
        <v>125000</v>
      </c>
      <c r="I14" s="889">
        <f t="shared" si="1"/>
        <v>228125</v>
      </c>
      <c r="J14" s="914">
        <f t="shared" si="2"/>
        <v>250937.50000000003</v>
      </c>
    </row>
    <row r="15" spans="1:10" ht="17.25" customHeight="1" thickBot="1">
      <c r="A15" s="919"/>
      <c r="B15" s="920" t="s">
        <v>764</v>
      </c>
      <c r="C15" s="921"/>
      <c r="D15" s="919"/>
      <c r="E15" s="921"/>
      <c r="F15" s="1009">
        <f>SUM(F9:F14)</f>
        <v>1587.4</v>
      </c>
      <c r="G15" s="1009">
        <f>SUM(G9:G14)</f>
        <v>194.1</v>
      </c>
      <c r="H15" s="922"/>
      <c r="I15" s="921"/>
      <c r="J15" s="919"/>
    </row>
    <row r="16" spans="1:10" ht="15.75" thickBot="1">
      <c r="A16" s="1378" t="s">
        <v>786</v>
      </c>
      <c r="B16" s="1421"/>
      <c r="C16" s="1421"/>
      <c r="D16" s="1421"/>
      <c r="E16" s="1421"/>
      <c r="F16" s="1421"/>
      <c r="G16" s="1421"/>
      <c r="H16" s="1421"/>
      <c r="I16" s="1421"/>
      <c r="J16" s="1422"/>
    </row>
    <row r="17" spans="1:10" ht="24" thickBot="1">
      <c r="A17" s="880" t="s">
        <v>754</v>
      </c>
      <c r="B17" s="881" t="s">
        <v>755</v>
      </c>
      <c r="C17" s="882" t="s">
        <v>754</v>
      </c>
      <c r="D17" s="883" t="s">
        <v>754</v>
      </c>
      <c r="E17" s="882" t="s">
        <v>754</v>
      </c>
      <c r="F17" s="883" t="s">
        <v>756</v>
      </c>
      <c r="G17" s="884" t="s">
        <v>757</v>
      </c>
      <c r="H17" s="885" t="s">
        <v>754</v>
      </c>
      <c r="I17" s="886" t="s">
        <v>754</v>
      </c>
      <c r="J17" s="883" t="s">
        <v>754</v>
      </c>
    </row>
    <row r="18" spans="1:10" ht="15.75" thickBot="1">
      <c r="A18" s="887">
        <v>1</v>
      </c>
      <c r="B18" s="881" t="s">
        <v>758</v>
      </c>
      <c r="C18" s="882">
        <v>4</v>
      </c>
      <c r="D18" s="883">
        <v>210</v>
      </c>
      <c r="E18" s="882">
        <v>8.4</v>
      </c>
      <c r="F18" s="883">
        <v>389</v>
      </c>
      <c r="G18" s="884">
        <v>43.8</v>
      </c>
      <c r="H18" s="888">
        <f>'Развитие жив-ва'!$G$8</f>
        <v>400</v>
      </c>
      <c r="I18" s="889">
        <f>C18*D18*H18/100</f>
        <v>3360</v>
      </c>
      <c r="J18" s="890">
        <f t="shared" ref="J18:J23" si="3">I18*1.1</f>
        <v>3696.0000000000005</v>
      </c>
    </row>
    <row r="19" spans="1:10" ht="15.75" thickBot="1">
      <c r="A19" s="887">
        <v>2</v>
      </c>
      <c r="B19" s="881" t="s">
        <v>759</v>
      </c>
      <c r="C19" s="882">
        <v>2</v>
      </c>
      <c r="D19" s="883">
        <v>210</v>
      </c>
      <c r="E19" s="882">
        <v>4.2</v>
      </c>
      <c r="F19" s="883">
        <v>92</v>
      </c>
      <c r="G19" s="884">
        <v>4.2</v>
      </c>
      <c r="H19" s="888">
        <f>'Развитие жив-ва'!$G$8</f>
        <v>400</v>
      </c>
      <c r="I19" s="889">
        <f>C19*D19*H19/100</f>
        <v>1680</v>
      </c>
      <c r="J19" s="890">
        <f t="shared" si="3"/>
        <v>1848.0000000000002</v>
      </c>
    </row>
    <row r="20" spans="1:10" ht="15.75" thickBot="1">
      <c r="A20" s="887">
        <v>3</v>
      </c>
      <c r="B20" s="881" t="s">
        <v>760</v>
      </c>
      <c r="C20" s="882">
        <v>25</v>
      </c>
      <c r="D20" s="883">
        <v>240</v>
      </c>
      <c r="E20" s="882">
        <v>60</v>
      </c>
      <c r="F20" s="883">
        <v>1080</v>
      </c>
      <c r="G20" s="884">
        <v>108</v>
      </c>
      <c r="H20" s="888">
        <f>'Развитие жив-ва'!$G$8</f>
        <v>400</v>
      </c>
      <c r="I20" s="889">
        <f>C20*D20*H20/100</f>
        <v>24000</v>
      </c>
      <c r="J20" s="890">
        <f t="shared" si="3"/>
        <v>26400.000000000004</v>
      </c>
    </row>
    <row r="21" spans="1:10" ht="15.75" thickBot="1">
      <c r="A21" s="887">
        <v>4</v>
      </c>
      <c r="B21" s="881" t="s">
        <v>761</v>
      </c>
      <c r="C21" s="882">
        <v>5</v>
      </c>
      <c r="D21" s="883">
        <v>200</v>
      </c>
      <c r="E21" s="882">
        <v>10</v>
      </c>
      <c r="F21" s="883">
        <v>120</v>
      </c>
      <c r="G21" s="884">
        <v>9</v>
      </c>
      <c r="H21" s="888">
        <f>'Развитие жив-ва'!$G$8</f>
        <v>400</v>
      </c>
      <c r="I21" s="889">
        <f>C21*D21*H21/100</f>
        <v>4000</v>
      </c>
      <c r="J21" s="890">
        <f t="shared" si="3"/>
        <v>4400</v>
      </c>
    </row>
    <row r="22" spans="1:10" ht="15.75" thickBot="1">
      <c r="A22" s="887">
        <v>5</v>
      </c>
      <c r="B22" s="881" t="s">
        <v>762</v>
      </c>
      <c r="C22" s="882">
        <v>40</v>
      </c>
      <c r="D22" s="883">
        <v>155</v>
      </c>
      <c r="E22" s="882">
        <v>62</v>
      </c>
      <c r="F22" s="883">
        <v>1116</v>
      </c>
      <c r="G22" s="884">
        <v>111.6</v>
      </c>
      <c r="H22" s="888">
        <f>'Развитие жив-ва'!$G$8</f>
        <v>400</v>
      </c>
      <c r="I22" s="889">
        <f>C22*D22*H22/100</f>
        <v>24800</v>
      </c>
      <c r="J22" s="890">
        <f t="shared" si="3"/>
        <v>27280.000000000004</v>
      </c>
    </row>
    <row r="23" spans="1:10" ht="35.25" thickBot="1">
      <c r="A23" s="891">
        <v>6</v>
      </c>
      <c r="B23" s="892" t="s">
        <v>763</v>
      </c>
      <c r="C23" s="879" t="s">
        <v>754</v>
      </c>
      <c r="D23" s="893" t="s">
        <v>754</v>
      </c>
      <c r="E23" s="879">
        <v>6</v>
      </c>
      <c r="F23" s="893">
        <v>558</v>
      </c>
      <c r="G23" s="894">
        <v>84</v>
      </c>
      <c r="H23" s="888">
        <f>'Развитие жив-ва'!$G$8</f>
        <v>400</v>
      </c>
      <c r="I23" s="895">
        <f>E23*H23</f>
        <v>2400</v>
      </c>
      <c r="J23" s="896">
        <f t="shared" si="3"/>
        <v>2640</v>
      </c>
    </row>
    <row r="24" spans="1:10" ht="15.75" thickBot="1">
      <c r="A24" s="897"/>
      <c r="B24" s="898" t="s">
        <v>764</v>
      </c>
      <c r="C24" s="899"/>
      <c r="D24" s="900"/>
      <c r="E24" s="899"/>
      <c r="F24" s="901">
        <v>3355</v>
      </c>
      <c r="G24" s="902">
        <v>360.6</v>
      </c>
      <c r="H24" s="903" t="s">
        <v>754</v>
      </c>
      <c r="I24" s="903"/>
      <c r="J24" s="904"/>
    </row>
    <row r="25" spans="1:10" ht="15.75" thickBot="1">
      <c r="A25" s="1391" t="s">
        <v>788</v>
      </c>
      <c r="B25" s="1392"/>
      <c r="C25" s="1392"/>
      <c r="D25" s="1392"/>
      <c r="E25" s="1392"/>
      <c r="F25" s="1392"/>
      <c r="G25" s="1392"/>
      <c r="H25" s="1392"/>
      <c r="I25" s="1392"/>
      <c r="J25" s="1382"/>
    </row>
    <row r="26" spans="1:10">
      <c r="A26" s="1383" t="s">
        <v>754</v>
      </c>
      <c r="B26" s="1385" t="s">
        <v>755</v>
      </c>
      <c r="C26" s="1387" t="s">
        <v>754</v>
      </c>
      <c r="D26" s="1383" t="s">
        <v>754</v>
      </c>
      <c r="E26" s="1383" t="s">
        <v>754</v>
      </c>
      <c r="F26" s="905" t="s">
        <v>772</v>
      </c>
      <c r="G26" s="906" t="s">
        <v>773</v>
      </c>
      <c r="H26" s="1389" t="s">
        <v>754</v>
      </c>
      <c r="I26" s="1387" t="s">
        <v>754</v>
      </c>
      <c r="J26" s="1383" t="s">
        <v>754</v>
      </c>
    </row>
    <row r="27" spans="1:10" ht="15.75" thickBot="1">
      <c r="A27" s="1384"/>
      <c r="B27" s="1386"/>
      <c r="C27" s="1388"/>
      <c r="D27" s="1384"/>
      <c r="E27" s="1384"/>
      <c r="F27" s="907">
        <v>1679</v>
      </c>
      <c r="G27" s="908">
        <v>204</v>
      </c>
      <c r="H27" s="1390"/>
      <c r="I27" s="1388"/>
      <c r="J27" s="1384"/>
    </row>
    <row r="28" spans="1:10" ht="15.75" thickBot="1">
      <c r="A28" s="909" t="s">
        <v>774</v>
      </c>
      <c r="B28" s="910" t="s">
        <v>775</v>
      </c>
      <c r="C28" s="911">
        <v>1.5</v>
      </c>
      <c r="D28" s="907">
        <v>365</v>
      </c>
      <c r="E28" s="912">
        <f t="shared" ref="E28:E33" si="4">C28*D28/100</f>
        <v>5.4749999999999996</v>
      </c>
      <c r="F28" s="907">
        <v>547</v>
      </c>
      <c r="G28" s="908">
        <v>44.3</v>
      </c>
      <c r="H28" s="913">
        <f>'Развитие жив-ва'!$G$13</f>
        <v>500</v>
      </c>
      <c r="I28" s="889">
        <f t="shared" ref="I28:I33" si="5">C28*D28*H28/100</f>
        <v>2737.5</v>
      </c>
      <c r="J28" s="914">
        <f t="shared" ref="J28:J33" si="6">I28*1.1</f>
        <v>3011.2500000000005</v>
      </c>
    </row>
    <row r="29" spans="1:10" ht="15.75" thickBot="1">
      <c r="A29" s="909" t="s">
        <v>776</v>
      </c>
      <c r="B29" s="910" t="s">
        <v>777</v>
      </c>
      <c r="C29" s="911">
        <v>0.5</v>
      </c>
      <c r="D29" s="907">
        <v>365</v>
      </c>
      <c r="E29" s="912">
        <f t="shared" si="4"/>
        <v>1.825</v>
      </c>
      <c r="F29" s="907">
        <v>130</v>
      </c>
      <c r="G29" s="908">
        <v>30</v>
      </c>
      <c r="H29" s="913">
        <f>'Развитие жив-ва'!$G$13</f>
        <v>500</v>
      </c>
      <c r="I29" s="889">
        <f t="shared" si="5"/>
        <v>912.5</v>
      </c>
      <c r="J29" s="914">
        <f t="shared" si="6"/>
        <v>1003.7500000000001</v>
      </c>
    </row>
    <row r="30" spans="1:10" ht="15.75" thickBot="1">
      <c r="A30" s="909" t="s">
        <v>778</v>
      </c>
      <c r="B30" s="910" t="s">
        <v>779</v>
      </c>
      <c r="C30" s="911">
        <v>0.4</v>
      </c>
      <c r="D30" s="907">
        <v>365</v>
      </c>
      <c r="E30" s="912">
        <f t="shared" si="4"/>
        <v>1.46</v>
      </c>
      <c r="F30" s="907">
        <v>153</v>
      </c>
      <c r="G30" s="908">
        <v>54</v>
      </c>
      <c r="H30" s="913">
        <f>'Развитие жив-ва'!$G$13</f>
        <v>500</v>
      </c>
      <c r="I30" s="889">
        <f t="shared" si="5"/>
        <v>730</v>
      </c>
      <c r="J30" s="914">
        <f t="shared" si="6"/>
        <v>803.00000000000011</v>
      </c>
    </row>
    <row r="31" spans="1:10" ht="27" thickBot="1">
      <c r="A31" s="909" t="s">
        <v>780</v>
      </c>
      <c r="B31" s="910" t="s">
        <v>781</v>
      </c>
      <c r="C31" s="911">
        <v>0.2</v>
      </c>
      <c r="D31" s="907">
        <v>365</v>
      </c>
      <c r="E31" s="912">
        <f t="shared" si="4"/>
        <v>0.73</v>
      </c>
      <c r="F31" s="907">
        <v>85.4</v>
      </c>
      <c r="G31" s="908">
        <v>14.2</v>
      </c>
      <c r="H31" s="913">
        <f>'Развитие жив-ва'!$G$13</f>
        <v>500</v>
      </c>
      <c r="I31" s="889">
        <f t="shared" si="5"/>
        <v>365</v>
      </c>
      <c r="J31" s="914">
        <f t="shared" si="6"/>
        <v>401.50000000000006</v>
      </c>
    </row>
    <row r="32" spans="1:10" ht="15.75" thickBot="1">
      <c r="A32" s="909" t="s">
        <v>782</v>
      </c>
      <c r="B32" s="910" t="s">
        <v>783</v>
      </c>
      <c r="C32" s="911">
        <v>5</v>
      </c>
      <c r="D32" s="907">
        <v>365</v>
      </c>
      <c r="E32" s="912">
        <f t="shared" si="4"/>
        <v>18.25</v>
      </c>
      <c r="F32" s="907">
        <v>548</v>
      </c>
      <c r="G32" s="908">
        <v>29.2</v>
      </c>
      <c r="H32" s="913">
        <f>'Развитие жив-ва'!$G$13</f>
        <v>500</v>
      </c>
      <c r="I32" s="889">
        <f t="shared" si="5"/>
        <v>9125</v>
      </c>
      <c r="J32" s="914">
        <f t="shared" si="6"/>
        <v>10037.5</v>
      </c>
    </row>
    <row r="33" spans="1:10" ht="15.75" thickBot="1">
      <c r="A33" s="915" t="s">
        <v>784</v>
      </c>
      <c r="B33" s="916" t="s">
        <v>785</v>
      </c>
      <c r="C33" s="917">
        <v>0.5</v>
      </c>
      <c r="D33" s="915">
        <v>365</v>
      </c>
      <c r="E33" s="912">
        <f t="shared" si="4"/>
        <v>1.825</v>
      </c>
      <c r="F33" s="915">
        <v>124</v>
      </c>
      <c r="G33" s="918">
        <v>22.4</v>
      </c>
      <c r="H33" s="913">
        <f>'Развитие жив-ва'!$G$13</f>
        <v>500</v>
      </c>
      <c r="I33" s="889">
        <f t="shared" si="5"/>
        <v>912.5</v>
      </c>
      <c r="J33" s="914">
        <f t="shared" si="6"/>
        <v>1003.7500000000001</v>
      </c>
    </row>
    <row r="34" spans="1:10" ht="15.75" thickBot="1">
      <c r="A34" s="919"/>
      <c r="B34" s="920" t="s">
        <v>764</v>
      </c>
      <c r="C34" s="921"/>
      <c r="D34" s="919"/>
      <c r="E34" s="921"/>
      <c r="F34" s="907">
        <f>SUM(F28:F33)</f>
        <v>1587.4</v>
      </c>
      <c r="G34" s="907">
        <f>SUM(G28:G33)</f>
        <v>194.1</v>
      </c>
      <c r="H34" s="922"/>
      <c r="I34" s="921"/>
      <c r="J34" s="919"/>
    </row>
    <row r="35" spans="1:10" ht="15.75" thickBot="1">
      <c r="A35" s="1391" t="s">
        <v>789</v>
      </c>
      <c r="B35" s="1410"/>
      <c r="C35" s="1410"/>
      <c r="D35" s="1410"/>
      <c r="E35" s="1410"/>
      <c r="F35" s="1410"/>
      <c r="G35" s="1410"/>
      <c r="H35" s="1410"/>
      <c r="I35" s="1410"/>
      <c r="J35" s="1411"/>
    </row>
    <row r="36" spans="1:10" ht="24" thickBot="1">
      <c r="A36" s="887" t="s">
        <v>754</v>
      </c>
      <c r="B36" s="923" t="s">
        <v>755</v>
      </c>
      <c r="C36" s="924" t="s">
        <v>754</v>
      </c>
      <c r="D36" s="901" t="s">
        <v>754</v>
      </c>
      <c r="E36" s="924" t="s">
        <v>754</v>
      </c>
      <c r="F36" s="901" t="s">
        <v>756</v>
      </c>
      <c r="G36" s="902" t="s">
        <v>757</v>
      </c>
      <c r="H36" s="925" t="s">
        <v>754</v>
      </c>
      <c r="I36" s="926" t="s">
        <v>754</v>
      </c>
      <c r="J36" s="901" t="s">
        <v>754</v>
      </c>
    </row>
    <row r="37" spans="1:10" ht="15.75" thickBot="1">
      <c r="A37" s="887">
        <v>1</v>
      </c>
      <c r="B37" s="881" t="s">
        <v>758</v>
      </c>
      <c r="C37" s="882">
        <v>4</v>
      </c>
      <c r="D37" s="883">
        <v>210</v>
      </c>
      <c r="E37" s="882">
        <v>8.4</v>
      </c>
      <c r="F37" s="883">
        <v>389</v>
      </c>
      <c r="G37" s="884">
        <v>43.8</v>
      </c>
      <c r="H37" s="888">
        <f>'Развитие жив-ва'!$G$16</f>
        <v>160</v>
      </c>
      <c r="I37" s="889">
        <f>C37*D37*H37/100</f>
        <v>1344</v>
      </c>
      <c r="J37" s="890">
        <f t="shared" ref="J37:J42" si="7">I37*1.1</f>
        <v>1478.4</v>
      </c>
    </row>
    <row r="38" spans="1:10" ht="15.75" thickBot="1">
      <c r="A38" s="887">
        <v>2</v>
      </c>
      <c r="B38" s="881" t="s">
        <v>759</v>
      </c>
      <c r="C38" s="882">
        <v>2</v>
      </c>
      <c r="D38" s="883">
        <v>210</v>
      </c>
      <c r="E38" s="882">
        <v>4.2</v>
      </c>
      <c r="F38" s="883">
        <v>92</v>
      </c>
      <c r="G38" s="884">
        <v>4.2</v>
      </c>
      <c r="H38" s="888">
        <f>'Развитие жив-ва'!$G$16</f>
        <v>160</v>
      </c>
      <c r="I38" s="889">
        <f>C38*D38*H38/100</f>
        <v>672</v>
      </c>
      <c r="J38" s="890">
        <f t="shared" si="7"/>
        <v>739.2</v>
      </c>
    </row>
    <row r="39" spans="1:10" ht="15.75" thickBot="1">
      <c r="A39" s="887">
        <v>3</v>
      </c>
      <c r="B39" s="881" t="s">
        <v>760</v>
      </c>
      <c r="C39" s="882">
        <v>25</v>
      </c>
      <c r="D39" s="883">
        <v>240</v>
      </c>
      <c r="E39" s="882">
        <v>60</v>
      </c>
      <c r="F39" s="883">
        <v>1080</v>
      </c>
      <c r="G39" s="884">
        <v>108</v>
      </c>
      <c r="H39" s="888">
        <f>'Развитие жив-ва'!$G$16</f>
        <v>160</v>
      </c>
      <c r="I39" s="889">
        <f>C39*D39*H39/100</f>
        <v>9600</v>
      </c>
      <c r="J39" s="890">
        <f t="shared" si="7"/>
        <v>10560</v>
      </c>
    </row>
    <row r="40" spans="1:10" ht="15.75" thickBot="1">
      <c r="A40" s="887">
        <v>4</v>
      </c>
      <c r="B40" s="881" t="s">
        <v>761</v>
      </c>
      <c r="C40" s="882">
        <v>5</v>
      </c>
      <c r="D40" s="883">
        <v>200</v>
      </c>
      <c r="E40" s="882">
        <v>10</v>
      </c>
      <c r="F40" s="883">
        <v>120</v>
      </c>
      <c r="G40" s="884">
        <v>9</v>
      </c>
      <c r="H40" s="888">
        <f>'Развитие жив-ва'!$G$16</f>
        <v>160</v>
      </c>
      <c r="I40" s="889">
        <f>C40*D40*H40/100</f>
        <v>1600</v>
      </c>
      <c r="J40" s="890">
        <f t="shared" si="7"/>
        <v>1760.0000000000002</v>
      </c>
    </row>
    <row r="41" spans="1:10" ht="15.75" thickBot="1">
      <c r="A41" s="887">
        <v>5</v>
      </c>
      <c r="B41" s="881" t="s">
        <v>762</v>
      </c>
      <c r="C41" s="882">
        <v>40</v>
      </c>
      <c r="D41" s="883">
        <v>155</v>
      </c>
      <c r="E41" s="882">
        <v>62</v>
      </c>
      <c r="F41" s="883">
        <v>1116</v>
      </c>
      <c r="G41" s="884">
        <v>111.6</v>
      </c>
      <c r="H41" s="888">
        <f>'Развитие жив-ва'!$G$16</f>
        <v>160</v>
      </c>
      <c r="I41" s="889">
        <f>C41*D41*H41/100</f>
        <v>9920</v>
      </c>
      <c r="J41" s="890">
        <f t="shared" si="7"/>
        <v>10912</v>
      </c>
    </row>
    <row r="42" spans="1:10" ht="35.25" thickBot="1">
      <c r="A42" s="891">
        <v>6</v>
      </c>
      <c r="B42" s="892" t="s">
        <v>763</v>
      </c>
      <c r="C42" s="879" t="s">
        <v>754</v>
      </c>
      <c r="D42" s="893" t="s">
        <v>754</v>
      </c>
      <c r="E42" s="879">
        <v>6</v>
      </c>
      <c r="F42" s="893">
        <v>558</v>
      </c>
      <c r="G42" s="894">
        <v>84</v>
      </c>
      <c r="H42" s="888">
        <f>'Развитие жив-ва'!$G$16</f>
        <v>160</v>
      </c>
      <c r="I42" s="895">
        <f>E42*H42</f>
        <v>960</v>
      </c>
      <c r="J42" s="896">
        <f t="shared" si="7"/>
        <v>1056</v>
      </c>
    </row>
    <row r="43" spans="1:10" ht="15.75" thickBot="1">
      <c r="A43" s="897"/>
      <c r="B43" s="898" t="s">
        <v>764</v>
      </c>
      <c r="C43" s="899"/>
      <c r="D43" s="900"/>
      <c r="E43" s="899"/>
      <c r="F43" s="901">
        <v>3355</v>
      </c>
      <c r="G43" s="902">
        <v>360.6</v>
      </c>
      <c r="H43" s="927" t="s">
        <v>754</v>
      </c>
      <c r="I43" s="903"/>
      <c r="J43" s="904"/>
    </row>
    <row r="44" spans="1:10" ht="15.75" thickBot="1">
      <c r="A44" s="1412" t="s">
        <v>790</v>
      </c>
      <c r="B44" s="1413"/>
      <c r="C44" s="1413"/>
      <c r="D44" s="1413"/>
      <c r="E44" s="1413"/>
      <c r="F44" s="1413"/>
      <c r="G44" s="1413"/>
      <c r="H44" s="1413"/>
      <c r="I44" s="1413"/>
      <c r="J44" s="1414"/>
    </row>
    <row r="45" spans="1:10" ht="24" thickBot="1">
      <c r="A45" s="887" t="s">
        <v>754</v>
      </c>
      <c r="B45" s="923" t="s">
        <v>755</v>
      </c>
      <c r="C45" s="924" t="s">
        <v>754</v>
      </c>
      <c r="D45" s="901" t="s">
        <v>754</v>
      </c>
      <c r="E45" s="924" t="s">
        <v>754</v>
      </c>
      <c r="F45" s="901" t="s">
        <v>756</v>
      </c>
      <c r="G45" s="902" t="s">
        <v>757</v>
      </c>
      <c r="H45" s="925" t="s">
        <v>754</v>
      </c>
      <c r="I45" s="926" t="s">
        <v>754</v>
      </c>
      <c r="J45" s="901" t="s">
        <v>754</v>
      </c>
    </row>
    <row r="46" spans="1:10" ht="15.75" thickBot="1">
      <c r="A46" s="887">
        <v>1</v>
      </c>
      <c r="B46" s="881" t="s">
        <v>758</v>
      </c>
      <c r="C46" s="882">
        <v>4</v>
      </c>
      <c r="D46" s="883">
        <v>210</v>
      </c>
      <c r="E46" s="882">
        <v>8.4</v>
      </c>
      <c r="F46" s="883">
        <v>389</v>
      </c>
      <c r="G46" s="884">
        <v>43.8</v>
      </c>
      <c r="H46" s="888">
        <f>'Развитие жив-ва'!$G$21</f>
        <v>100</v>
      </c>
      <c r="I46" s="889">
        <f>C46*D46*H46/100</f>
        <v>840</v>
      </c>
      <c r="J46" s="890">
        <f t="shared" ref="J46:J51" si="8">I46*1.1</f>
        <v>924.00000000000011</v>
      </c>
    </row>
    <row r="47" spans="1:10" ht="15.75" thickBot="1">
      <c r="A47" s="887">
        <v>2</v>
      </c>
      <c r="B47" s="881" t="s">
        <v>759</v>
      </c>
      <c r="C47" s="882">
        <v>2</v>
      </c>
      <c r="D47" s="883">
        <v>210</v>
      </c>
      <c r="E47" s="882">
        <v>4.2</v>
      </c>
      <c r="F47" s="883">
        <v>92</v>
      </c>
      <c r="G47" s="884">
        <v>4.2</v>
      </c>
      <c r="H47" s="888">
        <f>'Развитие жив-ва'!$G$21</f>
        <v>100</v>
      </c>
      <c r="I47" s="889">
        <f>C47*D47*H47/100</f>
        <v>420</v>
      </c>
      <c r="J47" s="890">
        <f t="shared" si="8"/>
        <v>462.00000000000006</v>
      </c>
    </row>
    <row r="48" spans="1:10" ht="15.75" thickBot="1">
      <c r="A48" s="887">
        <v>3</v>
      </c>
      <c r="B48" s="881" t="s">
        <v>760</v>
      </c>
      <c r="C48" s="882">
        <v>25</v>
      </c>
      <c r="D48" s="883">
        <v>240</v>
      </c>
      <c r="E48" s="882">
        <v>60</v>
      </c>
      <c r="F48" s="883">
        <v>1080</v>
      </c>
      <c r="G48" s="884">
        <v>108</v>
      </c>
      <c r="H48" s="888">
        <f>'Развитие жив-ва'!$G$21</f>
        <v>100</v>
      </c>
      <c r="I48" s="889">
        <f>C48*D48*H48/100</f>
        <v>6000</v>
      </c>
      <c r="J48" s="890">
        <f t="shared" si="8"/>
        <v>6600.0000000000009</v>
      </c>
    </row>
    <row r="49" spans="1:10" ht="15.75" thickBot="1">
      <c r="A49" s="887">
        <v>4</v>
      </c>
      <c r="B49" s="881" t="s">
        <v>761</v>
      </c>
      <c r="C49" s="882">
        <v>5</v>
      </c>
      <c r="D49" s="883">
        <v>200</v>
      </c>
      <c r="E49" s="882">
        <v>10</v>
      </c>
      <c r="F49" s="883">
        <v>120</v>
      </c>
      <c r="G49" s="884">
        <v>9</v>
      </c>
      <c r="H49" s="888">
        <f>'Развитие жив-ва'!$G$21</f>
        <v>100</v>
      </c>
      <c r="I49" s="889">
        <f>C49*D49*H49/100</f>
        <v>1000</v>
      </c>
      <c r="J49" s="890">
        <f t="shared" si="8"/>
        <v>1100</v>
      </c>
    </row>
    <row r="50" spans="1:10" ht="15.75" thickBot="1">
      <c r="A50" s="887">
        <v>5</v>
      </c>
      <c r="B50" s="881" t="s">
        <v>762</v>
      </c>
      <c r="C50" s="882">
        <v>40</v>
      </c>
      <c r="D50" s="883">
        <v>155</v>
      </c>
      <c r="E50" s="882">
        <v>62</v>
      </c>
      <c r="F50" s="883">
        <v>1116</v>
      </c>
      <c r="G50" s="884">
        <v>111.6</v>
      </c>
      <c r="H50" s="888">
        <f>'Развитие жив-ва'!$G$21</f>
        <v>100</v>
      </c>
      <c r="I50" s="889">
        <f>C50*D50*H50/100</f>
        <v>6200</v>
      </c>
      <c r="J50" s="890">
        <f t="shared" si="8"/>
        <v>6820.0000000000009</v>
      </c>
    </row>
    <row r="51" spans="1:10" ht="35.25" thickBot="1">
      <c r="A51" s="891">
        <v>6</v>
      </c>
      <c r="B51" s="892" t="s">
        <v>763</v>
      </c>
      <c r="C51" s="879" t="s">
        <v>754</v>
      </c>
      <c r="D51" s="893" t="s">
        <v>754</v>
      </c>
      <c r="E51" s="879">
        <v>6</v>
      </c>
      <c r="F51" s="893">
        <v>558</v>
      </c>
      <c r="G51" s="894">
        <v>84</v>
      </c>
      <c r="H51" s="888">
        <f>'Развитие жив-ва'!$G$21</f>
        <v>100</v>
      </c>
      <c r="I51" s="895">
        <f>E51*H51</f>
        <v>600</v>
      </c>
      <c r="J51" s="896">
        <f t="shared" si="8"/>
        <v>660</v>
      </c>
    </row>
    <row r="52" spans="1:10" ht="15.75" thickBot="1">
      <c r="A52" s="1381" t="s">
        <v>764</v>
      </c>
      <c r="B52" s="1415"/>
      <c r="C52" s="899"/>
      <c r="D52" s="900"/>
      <c r="E52" s="899"/>
      <c r="F52" s="901">
        <v>3355</v>
      </c>
      <c r="G52" s="902">
        <v>360.6</v>
      </c>
      <c r="H52" s="927" t="s">
        <v>754</v>
      </c>
      <c r="I52" s="903"/>
      <c r="J52" s="904"/>
    </row>
    <row r="53" spans="1:10" ht="15.75" thickBot="1">
      <c r="A53" s="928"/>
      <c r="B53" s="929"/>
      <c r="C53" s="929"/>
      <c r="D53" s="929"/>
      <c r="E53" s="929"/>
      <c r="F53" s="929"/>
      <c r="G53" s="929"/>
      <c r="H53" s="929"/>
      <c r="I53" s="929"/>
      <c r="J53" s="929"/>
    </row>
    <row r="54" spans="1:10" ht="15.75" thickBot="1">
      <c r="A54" s="1416" t="s">
        <v>792</v>
      </c>
      <c r="B54" s="1417"/>
      <c r="C54" s="1417"/>
      <c r="D54" s="1417"/>
      <c r="E54" s="1417"/>
      <c r="F54" s="1417"/>
      <c r="G54" s="1417"/>
      <c r="H54" s="1417"/>
      <c r="I54" s="1417"/>
      <c r="J54" s="1418"/>
    </row>
    <row r="55" spans="1:10" ht="15.75" thickBot="1">
      <c r="A55" s="887" t="s">
        <v>754</v>
      </c>
      <c r="B55" s="930" t="s">
        <v>755</v>
      </c>
      <c r="C55" s="901" t="s">
        <v>754</v>
      </c>
      <c r="D55" s="931" t="s">
        <v>754</v>
      </c>
      <c r="E55" s="932" t="s">
        <v>754</v>
      </c>
      <c r="F55" s="933" t="s">
        <v>765</v>
      </c>
      <c r="G55" s="934" t="s">
        <v>766</v>
      </c>
      <c r="H55" s="935" t="s">
        <v>754</v>
      </c>
      <c r="I55" s="935" t="s">
        <v>754</v>
      </c>
      <c r="J55" s="935" t="s">
        <v>754</v>
      </c>
    </row>
    <row r="56" spans="1:10" ht="15.75" thickBot="1">
      <c r="A56" s="887">
        <v>1</v>
      </c>
      <c r="B56" s="936" t="s">
        <v>767</v>
      </c>
      <c r="C56" s="924">
        <v>4</v>
      </c>
      <c r="D56" s="901">
        <v>210</v>
      </c>
      <c r="E56" s="902">
        <v>8.4</v>
      </c>
      <c r="F56" s="901">
        <v>389</v>
      </c>
      <c r="G56" s="902">
        <v>44</v>
      </c>
      <c r="H56" s="937">
        <f>'Развитие жив-ва'!$G$24</f>
        <v>4</v>
      </c>
      <c r="I56" s="889">
        <f t="shared" ref="I56:I61" si="9">C56*D56*H56/100</f>
        <v>33.6</v>
      </c>
      <c r="J56" s="890">
        <f t="shared" ref="J56:J61" si="10">I56*1.1</f>
        <v>36.960000000000008</v>
      </c>
    </row>
    <row r="57" spans="1:10" ht="15.75" thickBot="1">
      <c r="A57" s="887">
        <v>2</v>
      </c>
      <c r="B57" s="881" t="s">
        <v>768</v>
      </c>
      <c r="C57" s="882">
        <v>10</v>
      </c>
      <c r="D57" s="883">
        <v>210</v>
      </c>
      <c r="E57" s="882">
        <v>21</v>
      </c>
      <c r="F57" s="883">
        <v>630</v>
      </c>
      <c r="G57" s="884">
        <v>53</v>
      </c>
      <c r="H57" s="937">
        <f>'Развитие жив-ва'!$G$24</f>
        <v>4</v>
      </c>
      <c r="I57" s="889">
        <f t="shared" si="9"/>
        <v>84</v>
      </c>
      <c r="J57" s="890">
        <f t="shared" si="10"/>
        <v>92.4</v>
      </c>
    </row>
    <row r="58" spans="1:10" ht="15.75" thickBot="1">
      <c r="A58" s="887">
        <v>3</v>
      </c>
      <c r="B58" s="881" t="s">
        <v>760</v>
      </c>
      <c r="C58" s="882">
        <v>14</v>
      </c>
      <c r="D58" s="883">
        <v>240</v>
      </c>
      <c r="E58" s="882">
        <v>33.6</v>
      </c>
      <c r="F58" s="883">
        <v>672</v>
      </c>
      <c r="G58" s="884">
        <v>47</v>
      </c>
      <c r="H58" s="937">
        <f>'Развитие жив-ва'!$G$24</f>
        <v>4</v>
      </c>
      <c r="I58" s="889">
        <f t="shared" si="9"/>
        <v>134.4</v>
      </c>
      <c r="J58" s="890">
        <f t="shared" si="10"/>
        <v>147.84000000000003</v>
      </c>
    </row>
    <row r="59" spans="1:10" ht="15.75" thickBot="1">
      <c r="A59" s="887">
        <v>4</v>
      </c>
      <c r="B59" s="881" t="s">
        <v>769</v>
      </c>
      <c r="C59" s="882">
        <v>8</v>
      </c>
      <c r="D59" s="883">
        <v>200</v>
      </c>
      <c r="E59" s="882">
        <v>16</v>
      </c>
      <c r="F59" s="883">
        <v>480</v>
      </c>
      <c r="G59" s="884">
        <v>26</v>
      </c>
      <c r="H59" s="937">
        <f>'Развитие жив-ва'!$G$24</f>
        <v>4</v>
      </c>
      <c r="I59" s="889">
        <f t="shared" si="9"/>
        <v>64</v>
      </c>
      <c r="J59" s="890">
        <f t="shared" si="10"/>
        <v>70.400000000000006</v>
      </c>
    </row>
    <row r="60" spans="1:10" ht="15.75" thickBot="1">
      <c r="A60" s="887">
        <v>5</v>
      </c>
      <c r="B60" s="881" t="s">
        <v>770</v>
      </c>
      <c r="C60" s="882">
        <v>35</v>
      </c>
      <c r="D60" s="883">
        <v>155</v>
      </c>
      <c r="E60" s="882">
        <v>54.25</v>
      </c>
      <c r="F60" s="883">
        <v>922</v>
      </c>
      <c r="G60" s="884">
        <v>136</v>
      </c>
      <c r="H60" s="937">
        <f>'Развитие жив-ва'!$G$24</f>
        <v>4</v>
      </c>
      <c r="I60" s="889">
        <f t="shared" si="9"/>
        <v>217</v>
      </c>
      <c r="J60" s="890">
        <f t="shared" si="10"/>
        <v>238.70000000000002</v>
      </c>
    </row>
    <row r="61" spans="1:10" ht="15.75" thickBot="1">
      <c r="A61" s="891">
        <v>6</v>
      </c>
      <c r="B61" s="881" t="s">
        <v>771</v>
      </c>
      <c r="C61" s="882">
        <v>5.5</v>
      </c>
      <c r="D61" s="883">
        <v>365</v>
      </c>
      <c r="E61" s="879">
        <v>20.100000000000001</v>
      </c>
      <c r="F61" s="883">
        <v>2429</v>
      </c>
      <c r="G61" s="884">
        <v>163</v>
      </c>
      <c r="H61" s="937">
        <f>'Развитие жив-ва'!$G$24</f>
        <v>4</v>
      </c>
      <c r="I61" s="889">
        <f t="shared" si="9"/>
        <v>80.3</v>
      </c>
      <c r="J61" s="890">
        <f t="shared" si="10"/>
        <v>88.33</v>
      </c>
    </row>
    <row r="62" spans="1:10" ht="15.75" thickBot="1">
      <c r="A62" s="1381" t="s">
        <v>764</v>
      </c>
      <c r="B62" s="1382"/>
      <c r="C62" s="882" t="s">
        <v>754</v>
      </c>
      <c r="D62" s="883" t="s">
        <v>754</v>
      </c>
      <c r="E62" s="924" t="s">
        <v>754</v>
      </c>
      <c r="F62" s="883">
        <v>5522</v>
      </c>
      <c r="G62" s="884">
        <v>469</v>
      </c>
      <c r="H62" s="885" t="s">
        <v>754</v>
      </c>
      <c r="I62" s="882" t="s">
        <v>754</v>
      </c>
      <c r="J62" s="883" t="s">
        <v>754</v>
      </c>
    </row>
    <row r="63" spans="1:10" ht="15.75" thickBot="1">
      <c r="A63" s="1391" t="s">
        <v>791</v>
      </c>
      <c r="B63" s="1392"/>
      <c r="C63" s="1392"/>
      <c r="D63" s="1392"/>
      <c r="E63" s="1392"/>
      <c r="F63" s="1392"/>
      <c r="G63" s="1392"/>
      <c r="H63" s="1392"/>
      <c r="I63" s="1392"/>
      <c r="J63" s="1382"/>
    </row>
    <row r="64" spans="1:10">
      <c r="A64" s="1383" t="s">
        <v>754</v>
      </c>
      <c r="B64" s="1385" t="s">
        <v>755</v>
      </c>
      <c r="C64" s="1387" t="s">
        <v>754</v>
      </c>
      <c r="D64" s="1383" t="s">
        <v>754</v>
      </c>
      <c r="E64" s="1383" t="s">
        <v>754</v>
      </c>
      <c r="F64" s="905" t="s">
        <v>772</v>
      </c>
      <c r="G64" s="906" t="s">
        <v>773</v>
      </c>
      <c r="H64" s="1389" t="s">
        <v>754</v>
      </c>
      <c r="I64" s="1387" t="s">
        <v>754</v>
      </c>
      <c r="J64" s="1383" t="s">
        <v>754</v>
      </c>
    </row>
    <row r="65" spans="1:10" ht="15.75" thickBot="1">
      <c r="A65" s="1384"/>
      <c r="B65" s="1386"/>
      <c r="C65" s="1388"/>
      <c r="D65" s="1384"/>
      <c r="E65" s="1384"/>
      <c r="F65" s="907">
        <v>1679</v>
      </c>
      <c r="G65" s="908">
        <v>204</v>
      </c>
      <c r="H65" s="1390"/>
      <c r="I65" s="1388"/>
      <c r="J65" s="1384"/>
    </row>
    <row r="66" spans="1:10" ht="15.75" thickBot="1">
      <c r="A66" s="909" t="s">
        <v>774</v>
      </c>
      <c r="B66" s="910" t="s">
        <v>775</v>
      </c>
      <c r="C66" s="911">
        <v>1.5</v>
      </c>
      <c r="D66" s="907">
        <v>365</v>
      </c>
      <c r="E66" s="912">
        <f t="shared" ref="E66:E71" si="11">C66*D66/100</f>
        <v>5.4749999999999996</v>
      </c>
      <c r="F66" s="907">
        <v>547</v>
      </c>
      <c r="G66" s="908">
        <v>44.3</v>
      </c>
      <c r="H66" s="938">
        <f>'Развитие жив-ва'!$G$23</f>
        <v>70</v>
      </c>
      <c r="I66" s="889">
        <f t="shared" ref="I66:I71" si="12">C66*D66*H66/100</f>
        <v>383.25</v>
      </c>
      <c r="J66" s="914">
        <f t="shared" ref="J66:J71" si="13">I66*1.1</f>
        <v>421.57500000000005</v>
      </c>
    </row>
    <row r="67" spans="1:10" ht="15.75" thickBot="1">
      <c r="A67" s="909" t="s">
        <v>776</v>
      </c>
      <c r="B67" s="910" t="s">
        <v>777</v>
      </c>
      <c r="C67" s="911">
        <v>0.5</v>
      </c>
      <c r="D67" s="907">
        <v>365</v>
      </c>
      <c r="E67" s="912">
        <f t="shared" si="11"/>
        <v>1.825</v>
      </c>
      <c r="F67" s="907">
        <v>130</v>
      </c>
      <c r="G67" s="908">
        <v>30</v>
      </c>
      <c r="H67" s="938">
        <f>'Развитие жив-ва'!$G$23</f>
        <v>70</v>
      </c>
      <c r="I67" s="889">
        <f t="shared" si="12"/>
        <v>127.75</v>
      </c>
      <c r="J67" s="914">
        <f t="shared" si="13"/>
        <v>140.52500000000001</v>
      </c>
    </row>
    <row r="68" spans="1:10" ht="15.75" thickBot="1">
      <c r="A68" s="909" t="s">
        <v>778</v>
      </c>
      <c r="B68" s="910" t="s">
        <v>779</v>
      </c>
      <c r="C68" s="911">
        <v>0.4</v>
      </c>
      <c r="D68" s="907">
        <v>365</v>
      </c>
      <c r="E68" s="912">
        <f t="shared" si="11"/>
        <v>1.46</v>
      </c>
      <c r="F68" s="907">
        <v>153</v>
      </c>
      <c r="G68" s="908">
        <v>54</v>
      </c>
      <c r="H68" s="938">
        <f>'Развитие жив-ва'!$G$23</f>
        <v>70</v>
      </c>
      <c r="I68" s="889">
        <f t="shared" si="12"/>
        <v>102.2</v>
      </c>
      <c r="J68" s="914">
        <f t="shared" si="13"/>
        <v>112.42000000000002</v>
      </c>
    </row>
    <row r="69" spans="1:10" ht="27" thickBot="1">
      <c r="A69" s="909" t="s">
        <v>780</v>
      </c>
      <c r="B69" s="910" t="s">
        <v>781</v>
      </c>
      <c r="C69" s="911">
        <v>0.2</v>
      </c>
      <c r="D69" s="907">
        <v>365</v>
      </c>
      <c r="E69" s="912">
        <f t="shared" si="11"/>
        <v>0.73</v>
      </c>
      <c r="F69" s="907">
        <v>85.4</v>
      </c>
      <c r="G69" s="908">
        <v>14.2</v>
      </c>
      <c r="H69" s="938">
        <f>'Развитие жив-ва'!$G$23</f>
        <v>70</v>
      </c>
      <c r="I69" s="889">
        <f t="shared" si="12"/>
        <v>51.1</v>
      </c>
      <c r="J69" s="914">
        <f t="shared" si="13"/>
        <v>56.210000000000008</v>
      </c>
    </row>
    <row r="70" spans="1:10" ht="15.75" thickBot="1">
      <c r="A70" s="909" t="s">
        <v>782</v>
      </c>
      <c r="B70" s="910" t="s">
        <v>783</v>
      </c>
      <c r="C70" s="911">
        <v>5</v>
      </c>
      <c r="D70" s="907">
        <v>365</v>
      </c>
      <c r="E70" s="912">
        <f t="shared" si="11"/>
        <v>18.25</v>
      </c>
      <c r="F70" s="907">
        <v>548</v>
      </c>
      <c r="G70" s="908">
        <v>29.2</v>
      </c>
      <c r="H70" s="938">
        <f>'Развитие жив-ва'!$G$23</f>
        <v>70</v>
      </c>
      <c r="I70" s="889">
        <f t="shared" si="12"/>
        <v>1277.5</v>
      </c>
      <c r="J70" s="914">
        <f t="shared" si="13"/>
        <v>1405.25</v>
      </c>
    </row>
    <row r="71" spans="1:10" ht="15.75" thickBot="1">
      <c r="A71" s="915" t="s">
        <v>784</v>
      </c>
      <c r="B71" s="916" t="s">
        <v>785</v>
      </c>
      <c r="C71" s="917">
        <v>0.5</v>
      </c>
      <c r="D71" s="915">
        <v>365</v>
      </c>
      <c r="E71" s="912">
        <f t="shared" si="11"/>
        <v>1.825</v>
      </c>
      <c r="F71" s="915">
        <v>124</v>
      </c>
      <c r="G71" s="918">
        <v>22.4</v>
      </c>
      <c r="H71" s="938">
        <f>'Развитие жив-ва'!$G$23</f>
        <v>70</v>
      </c>
      <c r="I71" s="889">
        <f t="shared" si="12"/>
        <v>127.75</v>
      </c>
      <c r="J71" s="914">
        <f t="shared" si="13"/>
        <v>140.52500000000001</v>
      </c>
    </row>
    <row r="72" spans="1:10" ht="15.75" thickBot="1">
      <c r="A72" s="919"/>
      <c r="B72" s="920" t="s">
        <v>764</v>
      </c>
      <c r="C72" s="921"/>
      <c r="D72" s="919"/>
      <c r="E72" s="921"/>
      <c r="F72" s="907">
        <f>SUM(F66:F71)</f>
        <v>1587.4</v>
      </c>
      <c r="G72" s="907">
        <f>SUM(G66:G71)</f>
        <v>194.1</v>
      </c>
      <c r="H72" s="885" t="s">
        <v>754</v>
      </c>
      <c r="I72" s="882" t="s">
        <v>754</v>
      </c>
      <c r="J72" s="883" t="s">
        <v>754</v>
      </c>
    </row>
    <row r="73" spans="1:10" ht="15.75" thickBot="1">
      <c r="A73" s="1378" t="s">
        <v>793</v>
      </c>
      <c r="B73" s="1379"/>
      <c r="C73" s="1379"/>
      <c r="D73" s="1379"/>
      <c r="E73" s="1379"/>
      <c r="F73" s="1379"/>
      <c r="G73" s="1379"/>
      <c r="H73" s="1379"/>
      <c r="I73" s="1379"/>
      <c r="J73" s="1380"/>
    </row>
    <row r="74" spans="1:10" ht="24" thickBot="1">
      <c r="A74" s="887" t="s">
        <v>754</v>
      </c>
      <c r="B74" s="923" t="s">
        <v>755</v>
      </c>
      <c r="C74" s="924" t="s">
        <v>754</v>
      </c>
      <c r="D74" s="901" t="s">
        <v>754</v>
      </c>
      <c r="E74" s="924" t="s">
        <v>754</v>
      </c>
      <c r="F74" s="901" t="s">
        <v>756</v>
      </c>
      <c r="G74" s="902" t="s">
        <v>757</v>
      </c>
      <c r="H74" s="925" t="s">
        <v>754</v>
      </c>
      <c r="I74" s="926" t="s">
        <v>754</v>
      </c>
      <c r="J74" s="901" t="s">
        <v>754</v>
      </c>
    </row>
    <row r="75" spans="1:10" ht="15.75" thickBot="1">
      <c r="A75" s="887">
        <v>1</v>
      </c>
      <c r="B75" s="881" t="s">
        <v>758</v>
      </c>
      <c r="C75" s="882">
        <v>4</v>
      </c>
      <c r="D75" s="883">
        <v>210</v>
      </c>
      <c r="E75" s="882">
        <v>8.4</v>
      </c>
      <c r="F75" s="883">
        <v>389</v>
      </c>
      <c r="G75" s="884">
        <v>43.8</v>
      </c>
      <c r="H75" s="888">
        <f>'Развитие жив-ва'!$G$28</f>
        <v>200</v>
      </c>
      <c r="I75" s="889">
        <f>C75*D75*H75/100</f>
        <v>1680</v>
      </c>
      <c r="J75" s="890">
        <f t="shared" ref="J75:J80" si="14">I75*1.1</f>
        <v>1848.0000000000002</v>
      </c>
    </row>
    <row r="76" spans="1:10" ht="15.75" thickBot="1">
      <c r="A76" s="887">
        <v>2</v>
      </c>
      <c r="B76" s="881" t="s">
        <v>759</v>
      </c>
      <c r="C76" s="882">
        <v>2</v>
      </c>
      <c r="D76" s="883">
        <v>210</v>
      </c>
      <c r="E76" s="882">
        <v>4.2</v>
      </c>
      <c r="F76" s="883">
        <v>92</v>
      </c>
      <c r="G76" s="884">
        <v>4.2</v>
      </c>
      <c r="H76" s="888">
        <f>'Развитие жив-ва'!$G$28</f>
        <v>200</v>
      </c>
      <c r="I76" s="889">
        <f>C76*D76*H76/100</f>
        <v>840</v>
      </c>
      <c r="J76" s="890">
        <f t="shared" si="14"/>
        <v>924.00000000000011</v>
      </c>
    </row>
    <row r="77" spans="1:10" ht="15.75" thickBot="1">
      <c r="A77" s="887">
        <v>3</v>
      </c>
      <c r="B77" s="881" t="s">
        <v>760</v>
      </c>
      <c r="C77" s="882">
        <v>25</v>
      </c>
      <c r="D77" s="883">
        <v>240</v>
      </c>
      <c r="E77" s="882">
        <v>60</v>
      </c>
      <c r="F77" s="883">
        <v>1080</v>
      </c>
      <c r="G77" s="884">
        <v>108</v>
      </c>
      <c r="H77" s="888">
        <f>'Развитие жив-ва'!$G$28</f>
        <v>200</v>
      </c>
      <c r="I77" s="889">
        <f>C77*D77*H77/100</f>
        <v>12000</v>
      </c>
      <c r="J77" s="890">
        <f t="shared" si="14"/>
        <v>13200.000000000002</v>
      </c>
    </row>
    <row r="78" spans="1:10" ht="15.75" thickBot="1">
      <c r="A78" s="887">
        <v>4</v>
      </c>
      <c r="B78" s="881" t="s">
        <v>761</v>
      </c>
      <c r="C78" s="882">
        <v>5</v>
      </c>
      <c r="D78" s="883">
        <v>200</v>
      </c>
      <c r="E78" s="882">
        <v>10</v>
      </c>
      <c r="F78" s="883">
        <v>120</v>
      </c>
      <c r="G78" s="884">
        <v>9</v>
      </c>
      <c r="H78" s="888">
        <f>'Развитие жив-ва'!$G$28</f>
        <v>200</v>
      </c>
      <c r="I78" s="889">
        <f>C78*D78*H78/100</f>
        <v>2000</v>
      </c>
      <c r="J78" s="890">
        <f t="shared" si="14"/>
        <v>2200</v>
      </c>
    </row>
    <row r="79" spans="1:10" ht="15.75" thickBot="1">
      <c r="A79" s="887">
        <v>5</v>
      </c>
      <c r="B79" s="881" t="s">
        <v>762</v>
      </c>
      <c r="C79" s="882">
        <v>40</v>
      </c>
      <c r="D79" s="883">
        <v>155</v>
      </c>
      <c r="E79" s="882">
        <v>62</v>
      </c>
      <c r="F79" s="883">
        <v>1116</v>
      </c>
      <c r="G79" s="884">
        <v>111.6</v>
      </c>
      <c r="H79" s="888">
        <f>'Развитие жив-ва'!$G$28</f>
        <v>200</v>
      </c>
      <c r="I79" s="889">
        <f>C79*D79*H79/100</f>
        <v>12400</v>
      </c>
      <c r="J79" s="890">
        <f t="shared" si="14"/>
        <v>13640.000000000002</v>
      </c>
    </row>
    <row r="80" spans="1:10" ht="35.25" thickBot="1">
      <c r="A80" s="891">
        <v>6</v>
      </c>
      <c r="B80" s="892" t="s">
        <v>763</v>
      </c>
      <c r="C80" s="879" t="s">
        <v>754</v>
      </c>
      <c r="D80" s="893" t="s">
        <v>754</v>
      </c>
      <c r="E80" s="879">
        <v>6</v>
      </c>
      <c r="F80" s="893">
        <v>558</v>
      </c>
      <c r="G80" s="894">
        <v>84</v>
      </c>
      <c r="H80" s="888">
        <f>'Развитие жив-ва'!$G$28</f>
        <v>200</v>
      </c>
      <c r="I80" s="940">
        <f>E80*H80</f>
        <v>1200</v>
      </c>
      <c r="J80" s="941">
        <f t="shared" si="14"/>
        <v>1320</v>
      </c>
    </row>
    <row r="81" spans="1:10" ht="15.75" thickBot="1">
      <c r="A81" s="897"/>
      <c r="B81" s="898" t="s">
        <v>764</v>
      </c>
      <c r="C81" s="899"/>
      <c r="D81" s="900"/>
      <c r="E81" s="899"/>
      <c r="F81" s="901">
        <v>3355</v>
      </c>
      <c r="G81" s="902">
        <v>360.6</v>
      </c>
      <c r="H81" s="885" t="s">
        <v>754</v>
      </c>
      <c r="I81" s="882" t="s">
        <v>754</v>
      </c>
      <c r="J81" s="883" t="s">
        <v>754</v>
      </c>
    </row>
    <row r="82" spans="1:10" ht="15.75" thickBot="1">
      <c r="A82" s="1378" t="s">
        <v>794</v>
      </c>
      <c r="B82" s="1379"/>
      <c r="C82" s="1379"/>
      <c r="D82" s="1379"/>
      <c r="E82" s="1379"/>
      <c r="F82" s="1379"/>
      <c r="G82" s="1379"/>
      <c r="H82" s="1379"/>
      <c r="I82" s="1379"/>
      <c r="J82" s="1380"/>
    </row>
    <row r="83" spans="1:10" ht="24" thickBot="1">
      <c r="A83" s="887" t="s">
        <v>754</v>
      </c>
      <c r="B83" s="923" t="s">
        <v>755</v>
      </c>
      <c r="C83" s="924" t="s">
        <v>754</v>
      </c>
      <c r="D83" s="901" t="s">
        <v>754</v>
      </c>
      <c r="E83" s="924" t="s">
        <v>754</v>
      </c>
      <c r="F83" s="901" t="s">
        <v>756</v>
      </c>
      <c r="G83" s="902" t="s">
        <v>757</v>
      </c>
      <c r="H83" s="925" t="s">
        <v>754</v>
      </c>
      <c r="I83" s="926" t="s">
        <v>754</v>
      </c>
      <c r="J83" s="901" t="s">
        <v>754</v>
      </c>
    </row>
    <row r="84" spans="1:10" ht="15.75" thickBot="1">
      <c r="A84" s="887">
        <v>1</v>
      </c>
      <c r="B84" s="881" t="s">
        <v>758</v>
      </c>
      <c r="C84" s="882">
        <v>4</v>
      </c>
      <c r="D84" s="883">
        <v>210</v>
      </c>
      <c r="E84" s="882">
        <v>8.4</v>
      </c>
      <c r="F84" s="883">
        <v>389</v>
      </c>
      <c r="G84" s="884">
        <v>43.8</v>
      </c>
      <c r="H84" s="888">
        <f>'Развитие жив-ва'!$G$34</f>
        <v>90</v>
      </c>
      <c r="I84" s="889">
        <f>C84*D84*H84/100</f>
        <v>756</v>
      </c>
      <c r="J84" s="890">
        <f t="shared" ref="J84:J89" si="15">I84*1.1</f>
        <v>831.6</v>
      </c>
    </row>
    <row r="85" spans="1:10" ht="15.75" thickBot="1">
      <c r="A85" s="887">
        <v>2</v>
      </c>
      <c r="B85" s="881" t="s">
        <v>759</v>
      </c>
      <c r="C85" s="882">
        <v>2</v>
      </c>
      <c r="D85" s="883">
        <v>210</v>
      </c>
      <c r="E85" s="882">
        <v>4.2</v>
      </c>
      <c r="F85" s="883">
        <v>92</v>
      </c>
      <c r="G85" s="884">
        <v>4.2</v>
      </c>
      <c r="H85" s="888">
        <f>'Развитие жив-ва'!$G$34</f>
        <v>90</v>
      </c>
      <c r="I85" s="889">
        <f>C85*D85*H85/100</f>
        <v>378</v>
      </c>
      <c r="J85" s="890">
        <f t="shared" si="15"/>
        <v>415.8</v>
      </c>
    </row>
    <row r="86" spans="1:10" ht="15.75" thickBot="1">
      <c r="A86" s="887">
        <v>3</v>
      </c>
      <c r="B86" s="881" t="s">
        <v>760</v>
      </c>
      <c r="C86" s="882">
        <v>25</v>
      </c>
      <c r="D86" s="883">
        <v>240</v>
      </c>
      <c r="E86" s="882">
        <v>60</v>
      </c>
      <c r="F86" s="883">
        <v>1080</v>
      </c>
      <c r="G86" s="884">
        <v>108</v>
      </c>
      <c r="H86" s="888">
        <f>'Развитие жив-ва'!$G$34</f>
        <v>90</v>
      </c>
      <c r="I86" s="889">
        <f>C86*D86*H86/100</f>
        <v>5400</v>
      </c>
      <c r="J86" s="890">
        <f t="shared" si="15"/>
        <v>5940.0000000000009</v>
      </c>
    </row>
    <row r="87" spans="1:10" ht="15.75" thickBot="1">
      <c r="A87" s="887">
        <v>4</v>
      </c>
      <c r="B87" s="881" t="s">
        <v>761</v>
      </c>
      <c r="C87" s="882">
        <v>5</v>
      </c>
      <c r="D87" s="883">
        <v>200</v>
      </c>
      <c r="E87" s="882">
        <v>10</v>
      </c>
      <c r="F87" s="883">
        <v>120</v>
      </c>
      <c r="G87" s="884">
        <v>9</v>
      </c>
      <c r="H87" s="888">
        <f>'Развитие жив-ва'!$G$34</f>
        <v>90</v>
      </c>
      <c r="I87" s="889">
        <f>C87*D87*H87/100</f>
        <v>900</v>
      </c>
      <c r="J87" s="890">
        <f t="shared" si="15"/>
        <v>990.00000000000011</v>
      </c>
    </row>
    <row r="88" spans="1:10" ht="15.75" thickBot="1">
      <c r="A88" s="887">
        <v>5</v>
      </c>
      <c r="B88" s="881" t="s">
        <v>762</v>
      </c>
      <c r="C88" s="882">
        <v>40</v>
      </c>
      <c r="D88" s="883">
        <v>155</v>
      </c>
      <c r="E88" s="882">
        <v>62</v>
      </c>
      <c r="F88" s="883">
        <v>1116</v>
      </c>
      <c r="G88" s="884">
        <v>111.6</v>
      </c>
      <c r="H88" s="888">
        <f>'Развитие жив-ва'!$G$34</f>
        <v>90</v>
      </c>
      <c r="I88" s="889">
        <f>C88*D88*H88/100</f>
        <v>5580</v>
      </c>
      <c r="J88" s="890">
        <f t="shared" si="15"/>
        <v>6138.0000000000009</v>
      </c>
    </row>
    <row r="89" spans="1:10" ht="35.25" thickBot="1">
      <c r="A89" s="891">
        <v>6</v>
      </c>
      <c r="B89" s="892" t="s">
        <v>763</v>
      </c>
      <c r="C89" s="879" t="s">
        <v>754</v>
      </c>
      <c r="D89" s="893" t="s">
        <v>754</v>
      </c>
      <c r="E89" s="879">
        <v>6</v>
      </c>
      <c r="F89" s="893">
        <v>558</v>
      </c>
      <c r="G89" s="894">
        <v>84</v>
      </c>
      <c r="H89" s="888">
        <f>'Развитие жив-ва'!$G$34</f>
        <v>90</v>
      </c>
      <c r="I89" s="940">
        <f>E89*H89</f>
        <v>540</v>
      </c>
      <c r="J89" s="941">
        <f t="shared" si="15"/>
        <v>594</v>
      </c>
    </row>
    <row r="90" spans="1:10" ht="15.75" thickBot="1">
      <c r="A90" s="897"/>
      <c r="B90" s="898" t="s">
        <v>764</v>
      </c>
      <c r="C90" s="899"/>
      <c r="D90" s="900"/>
      <c r="E90" s="899"/>
      <c r="F90" s="901">
        <v>3355</v>
      </c>
      <c r="G90" s="902">
        <v>360.6</v>
      </c>
      <c r="H90" s="885" t="s">
        <v>754</v>
      </c>
      <c r="I90" s="882" t="s">
        <v>754</v>
      </c>
      <c r="J90" s="883" t="s">
        <v>754</v>
      </c>
    </row>
    <row r="91" spans="1:10" ht="15.75" thickBot="1">
      <c r="A91" s="1378" t="s">
        <v>796</v>
      </c>
      <c r="B91" s="1379"/>
      <c r="C91" s="1379"/>
      <c r="D91" s="1379"/>
      <c r="E91" s="1379"/>
      <c r="F91" s="1379"/>
      <c r="G91" s="1379"/>
      <c r="H91" s="1379"/>
      <c r="I91" s="1379"/>
      <c r="J91" s="1380"/>
    </row>
    <row r="92" spans="1:10" ht="15.75" thickBot="1">
      <c r="A92" s="887" t="s">
        <v>754</v>
      </c>
      <c r="B92" s="930" t="s">
        <v>755</v>
      </c>
      <c r="C92" s="901" t="s">
        <v>754</v>
      </c>
      <c r="D92" s="931" t="s">
        <v>754</v>
      </c>
      <c r="E92" s="932" t="s">
        <v>754</v>
      </c>
      <c r="F92" s="933" t="s">
        <v>765</v>
      </c>
      <c r="G92" s="934" t="s">
        <v>766</v>
      </c>
      <c r="H92" s="935" t="s">
        <v>754</v>
      </c>
      <c r="I92" s="935" t="s">
        <v>754</v>
      </c>
      <c r="J92" s="935" t="s">
        <v>754</v>
      </c>
    </row>
    <row r="93" spans="1:10" ht="15.75" thickBot="1">
      <c r="A93" s="887">
        <v>1</v>
      </c>
      <c r="B93" s="936" t="s">
        <v>767</v>
      </c>
      <c r="C93" s="924">
        <v>4</v>
      </c>
      <c r="D93" s="901">
        <v>210</v>
      </c>
      <c r="E93" s="902">
        <v>8.4</v>
      </c>
      <c r="F93" s="901">
        <v>389</v>
      </c>
      <c r="G93" s="902">
        <v>44</v>
      </c>
      <c r="H93" s="937">
        <f>'Развитие жив-ва'!$G$37</f>
        <v>15</v>
      </c>
      <c r="I93" s="889">
        <f t="shared" ref="I93:I98" si="16">C93*D93*H93/100</f>
        <v>126</v>
      </c>
      <c r="J93" s="890">
        <f t="shared" ref="J93:J98" si="17">I93*1.1</f>
        <v>138.60000000000002</v>
      </c>
    </row>
    <row r="94" spans="1:10" ht="15.75" thickBot="1">
      <c r="A94" s="887">
        <v>2</v>
      </c>
      <c r="B94" s="881" t="s">
        <v>768</v>
      </c>
      <c r="C94" s="882">
        <v>10</v>
      </c>
      <c r="D94" s="883">
        <v>210</v>
      </c>
      <c r="E94" s="882">
        <v>21</v>
      </c>
      <c r="F94" s="883">
        <v>630</v>
      </c>
      <c r="G94" s="884">
        <v>53</v>
      </c>
      <c r="H94" s="937">
        <f>'Развитие жив-ва'!$G$37</f>
        <v>15</v>
      </c>
      <c r="I94" s="889">
        <f t="shared" si="16"/>
        <v>315</v>
      </c>
      <c r="J94" s="890">
        <f t="shared" si="17"/>
        <v>346.5</v>
      </c>
    </row>
    <row r="95" spans="1:10" ht="15.75" thickBot="1">
      <c r="A95" s="887">
        <v>3</v>
      </c>
      <c r="B95" s="881" t="s">
        <v>760</v>
      </c>
      <c r="C95" s="882">
        <v>14</v>
      </c>
      <c r="D95" s="883">
        <v>240</v>
      </c>
      <c r="E95" s="882">
        <v>33.6</v>
      </c>
      <c r="F95" s="883">
        <v>672</v>
      </c>
      <c r="G95" s="884">
        <v>47</v>
      </c>
      <c r="H95" s="937">
        <f>'Развитие жив-ва'!$G$37</f>
        <v>15</v>
      </c>
      <c r="I95" s="889">
        <f t="shared" si="16"/>
        <v>504</v>
      </c>
      <c r="J95" s="890">
        <f t="shared" si="17"/>
        <v>554.40000000000009</v>
      </c>
    </row>
    <row r="96" spans="1:10" ht="15.75" thickBot="1">
      <c r="A96" s="887">
        <v>4</v>
      </c>
      <c r="B96" s="881" t="s">
        <v>769</v>
      </c>
      <c r="C96" s="882">
        <v>8</v>
      </c>
      <c r="D96" s="883">
        <v>200</v>
      </c>
      <c r="E96" s="882">
        <v>16</v>
      </c>
      <c r="F96" s="883">
        <v>480</v>
      </c>
      <c r="G96" s="884">
        <v>26</v>
      </c>
      <c r="H96" s="937">
        <f>'Развитие жив-ва'!$G$37</f>
        <v>15</v>
      </c>
      <c r="I96" s="889">
        <f t="shared" si="16"/>
        <v>240</v>
      </c>
      <c r="J96" s="890">
        <f t="shared" si="17"/>
        <v>264</v>
      </c>
    </row>
    <row r="97" spans="1:10" ht="15.75" thickBot="1">
      <c r="A97" s="887">
        <v>5</v>
      </c>
      <c r="B97" s="881" t="s">
        <v>770</v>
      </c>
      <c r="C97" s="882">
        <v>35</v>
      </c>
      <c r="D97" s="883">
        <v>155</v>
      </c>
      <c r="E97" s="882">
        <v>54.25</v>
      </c>
      <c r="F97" s="883">
        <v>922</v>
      </c>
      <c r="G97" s="884">
        <v>136</v>
      </c>
      <c r="H97" s="937">
        <f>'Развитие жив-ва'!$G$37</f>
        <v>15</v>
      </c>
      <c r="I97" s="889">
        <f t="shared" si="16"/>
        <v>813.75</v>
      </c>
      <c r="J97" s="890">
        <f t="shared" si="17"/>
        <v>895.12500000000011</v>
      </c>
    </row>
    <row r="98" spans="1:10" ht="15.75" thickBot="1">
      <c r="A98" s="891">
        <v>6</v>
      </c>
      <c r="B98" s="881" t="s">
        <v>771</v>
      </c>
      <c r="C98" s="882">
        <v>5.5</v>
      </c>
      <c r="D98" s="883">
        <v>365</v>
      </c>
      <c r="E98" s="879">
        <v>20.100000000000001</v>
      </c>
      <c r="F98" s="883">
        <v>2429</v>
      </c>
      <c r="G98" s="884">
        <v>163</v>
      </c>
      <c r="H98" s="937">
        <f>'Развитие жив-ва'!$G$37</f>
        <v>15</v>
      </c>
      <c r="I98" s="889">
        <f t="shared" si="16"/>
        <v>301.125</v>
      </c>
      <c r="J98" s="890">
        <f t="shared" si="17"/>
        <v>331.23750000000001</v>
      </c>
    </row>
    <row r="99" spans="1:10" ht="15.75" thickBot="1">
      <c r="A99" s="1381" t="s">
        <v>764</v>
      </c>
      <c r="B99" s="1382"/>
      <c r="C99" s="882" t="s">
        <v>754</v>
      </c>
      <c r="D99" s="883" t="s">
        <v>754</v>
      </c>
      <c r="E99" s="924" t="s">
        <v>754</v>
      </c>
      <c r="F99" s="883">
        <v>5522</v>
      </c>
      <c r="G99" s="884">
        <v>469</v>
      </c>
      <c r="H99" s="885" t="s">
        <v>754</v>
      </c>
      <c r="I99" s="882" t="s">
        <v>754</v>
      </c>
      <c r="J99" s="883" t="s">
        <v>754</v>
      </c>
    </row>
    <row r="100" spans="1:10" ht="15.75" thickBot="1">
      <c r="A100" s="1378" t="s">
        <v>795</v>
      </c>
      <c r="B100" s="1379"/>
      <c r="C100" s="1379"/>
      <c r="D100" s="1379"/>
      <c r="E100" s="1379"/>
      <c r="F100" s="1379"/>
      <c r="G100" s="1379"/>
      <c r="H100" s="1379"/>
      <c r="I100" s="1379"/>
      <c r="J100" s="1380"/>
    </row>
    <row r="101" spans="1:10">
      <c r="A101" s="1383" t="s">
        <v>754</v>
      </c>
      <c r="B101" s="1385" t="s">
        <v>755</v>
      </c>
      <c r="C101" s="1387" t="s">
        <v>754</v>
      </c>
      <c r="D101" s="1383" t="s">
        <v>754</v>
      </c>
      <c r="E101" s="1383" t="s">
        <v>754</v>
      </c>
      <c r="F101" s="905" t="s">
        <v>772</v>
      </c>
      <c r="G101" s="906" t="s">
        <v>773</v>
      </c>
      <c r="H101" s="1389" t="s">
        <v>754</v>
      </c>
      <c r="I101" s="1387" t="s">
        <v>754</v>
      </c>
      <c r="J101" s="1383" t="s">
        <v>754</v>
      </c>
    </row>
    <row r="102" spans="1:10" ht="15.75" thickBot="1">
      <c r="A102" s="1384"/>
      <c r="B102" s="1386"/>
      <c r="C102" s="1388"/>
      <c r="D102" s="1384"/>
      <c r="E102" s="1384"/>
      <c r="F102" s="907">
        <v>1679</v>
      </c>
      <c r="G102" s="908">
        <v>204</v>
      </c>
      <c r="H102" s="1390"/>
      <c r="I102" s="1388"/>
      <c r="J102" s="1384"/>
    </row>
    <row r="103" spans="1:10" ht="15.75" thickBot="1">
      <c r="A103" s="909" t="s">
        <v>774</v>
      </c>
      <c r="B103" s="910" t="s">
        <v>775</v>
      </c>
      <c r="C103" s="911">
        <v>1.5</v>
      </c>
      <c r="D103" s="907">
        <v>365</v>
      </c>
      <c r="E103" s="912">
        <f t="shared" ref="E103:E108" si="18">C103*D103/100</f>
        <v>5.4749999999999996</v>
      </c>
      <c r="F103" s="907">
        <v>547</v>
      </c>
      <c r="G103" s="908">
        <v>44.3</v>
      </c>
      <c r="H103" s="938">
        <f>'Развитие жив-ва'!$G$36</f>
        <v>170</v>
      </c>
      <c r="I103" s="889">
        <f t="shared" ref="I103:I108" si="19">C103*D103*H103/100</f>
        <v>930.75</v>
      </c>
      <c r="J103" s="914">
        <f t="shared" ref="J103:J108" si="20">I103*1.1</f>
        <v>1023.825</v>
      </c>
    </row>
    <row r="104" spans="1:10" ht="15.75" thickBot="1">
      <c r="A104" s="909" t="s">
        <v>776</v>
      </c>
      <c r="B104" s="910" t="s">
        <v>777</v>
      </c>
      <c r="C104" s="911">
        <v>0.5</v>
      </c>
      <c r="D104" s="907">
        <v>365</v>
      </c>
      <c r="E104" s="912">
        <f t="shared" si="18"/>
        <v>1.825</v>
      </c>
      <c r="F104" s="907">
        <v>130</v>
      </c>
      <c r="G104" s="908">
        <v>30</v>
      </c>
      <c r="H104" s="938">
        <f>'Развитие жив-ва'!$G$36</f>
        <v>170</v>
      </c>
      <c r="I104" s="889">
        <f t="shared" si="19"/>
        <v>310.25</v>
      </c>
      <c r="J104" s="914">
        <f t="shared" si="20"/>
        <v>341.27500000000003</v>
      </c>
    </row>
    <row r="105" spans="1:10" ht="15.75" thickBot="1">
      <c r="A105" s="909" t="s">
        <v>778</v>
      </c>
      <c r="B105" s="910" t="s">
        <v>779</v>
      </c>
      <c r="C105" s="911">
        <v>0.4</v>
      </c>
      <c r="D105" s="907">
        <v>365</v>
      </c>
      <c r="E105" s="912">
        <f t="shared" si="18"/>
        <v>1.46</v>
      </c>
      <c r="F105" s="907">
        <v>153</v>
      </c>
      <c r="G105" s="908">
        <v>54</v>
      </c>
      <c r="H105" s="938">
        <f>'Развитие жив-ва'!$G$36</f>
        <v>170</v>
      </c>
      <c r="I105" s="889">
        <f t="shared" si="19"/>
        <v>248.2</v>
      </c>
      <c r="J105" s="914">
        <f t="shared" si="20"/>
        <v>273.02</v>
      </c>
    </row>
    <row r="106" spans="1:10" ht="27" thickBot="1">
      <c r="A106" s="909" t="s">
        <v>780</v>
      </c>
      <c r="B106" s="910" t="s">
        <v>781</v>
      </c>
      <c r="C106" s="911">
        <v>0.2</v>
      </c>
      <c r="D106" s="907">
        <v>365</v>
      </c>
      <c r="E106" s="912">
        <f t="shared" si="18"/>
        <v>0.73</v>
      </c>
      <c r="F106" s="907">
        <v>85.4</v>
      </c>
      <c r="G106" s="908">
        <v>14.2</v>
      </c>
      <c r="H106" s="938">
        <f>'Развитие жив-ва'!$G$36</f>
        <v>170</v>
      </c>
      <c r="I106" s="889">
        <f t="shared" si="19"/>
        <v>124.1</v>
      </c>
      <c r="J106" s="914">
        <f t="shared" si="20"/>
        <v>136.51</v>
      </c>
    </row>
    <row r="107" spans="1:10" ht="15.75" thickBot="1">
      <c r="A107" s="909" t="s">
        <v>782</v>
      </c>
      <c r="B107" s="910" t="s">
        <v>783</v>
      </c>
      <c r="C107" s="911">
        <v>5</v>
      </c>
      <c r="D107" s="907">
        <v>365</v>
      </c>
      <c r="E107" s="912">
        <f t="shared" si="18"/>
        <v>18.25</v>
      </c>
      <c r="F107" s="907">
        <v>548</v>
      </c>
      <c r="G107" s="908">
        <v>29.2</v>
      </c>
      <c r="H107" s="938">
        <f>'Развитие жив-ва'!$G$36</f>
        <v>170</v>
      </c>
      <c r="I107" s="889">
        <f t="shared" si="19"/>
        <v>3102.5</v>
      </c>
      <c r="J107" s="914">
        <f t="shared" si="20"/>
        <v>3412.7500000000005</v>
      </c>
    </row>
    <row r="108" spans="1:10" ht="15.75" thickBot="1">
      <c r="A108" s="915" t="s">
        <v>784</v>
      </c>
      <c r="B108" s="916" t="s">
        <v>785</v>
      </c>
      <c r="C108" s="917">
        <v>0.5</v>
      </c>
      <c r="D108" s="915">
        <v>365</v>
      </c>
      <c r="E108" s="912">
        <f t="shared" si="18"/>
        <v>1.825</v>
      </c>
      <c r="F108" s="915">
        <v>124</v>
      </c>
      <c r="G108" s="918">
        <v>22.4</v>
      </c>
      <c r="H108" s="938">
        <f>'Развитие жив-ва'!$G$36</f>
        <v>170</v>
      </c>
      <c r="I108" s="889">
        <f t="shared" si="19"/>
        <v>310.25</v>
      </c>
      <c r="J108" s="914">
        <f t="shared" si="20"/>
        <v>341.27500000000003</v>
      </c>
    </row>
    <row r="109" spans="1:10" ht="15.75" thickBot="1">
      <c r="A109" s="919"/>
      <c r="B109" s="920" t="s">
        <v>764</v>
      </c>
      <c r="C109" s="921"/>
      <c r="D109" s="919"/>
      <c r="E109" s="921"/>
      <c r="F109" s="907">
        <f>SUM(F103:F108)</f>
        <v>1587.4</v>
      </c>
      <c r="G109" s="907">
        <f>SUM(G103:G108)</f>
        <v>194.1</v>
      </c>
      <c r="H109" s="885" t="s">
        <v>754</v>
      </c>
      <c r="I109" s="882" t="s">
        <v>754</v>
      </c>
      <c r="J109" s="883" t="s">
        <v>754</v>
      </c>
    </row>
    <row r="110" spans="1:10" ht="15.75" thickBot="1">
      <c r="A110" s="1378" t="s">
        <v>797</v>
      </c>
      <c r="B110" s="1379"/>
      <c r="C110" s="1379"/>
      <c r="D110" s="1379"/>
      <c r="E110" s="1379"/>
      <c r="F110" s="1379"/>
      <c r="G110" s="1379"/>
      <c r="H110" s="1379"/>
      <c r="I110" s="1379"/>
      <c r="J110" s="1380"/>
    </row>
    <row r="111" spans="1:10" ht="24" thickBot="1">
      <c r="A111" s="887" t="s">
        <v>754</v>
      </c>
      <c r="B111" s="923" t="s">
        <v>755</v>
      </c>
      <c r="C111" s="924" t="s">
        <v>754</v>
      </c>
      <c r="D111" s="901" t="s">
        <v>754</v>
      </c>
      <c r="E111" s="924" t="s">
        <v>754</v>
      </c>
      <c r="F111" s="901" t="s">
        <v>756</v>
      </c>
      <c r="G111" s="902" t="s">
        <v>757</v>
      </c>
      <c r="H111" s="925" t="s">
        <v>754</v>
      </c>
      <c r="I111" s="926" t="s">
        <v>754</v>
      </c>
      <c r="J111" s="901" t="s">
        <v>754</v>
      </c>
    </row>
    <row r="112" spans="1:10" ht="15.75" thickBot="1">
      <c r="A112" s="887">
        <v>1</v>
      </c>
      <c r="B112" s="881" t="s">
        <v>758</v>
      </c>
      <c r="C112" s="882">
        <v>4</v>
      </c>
      <c r="D112" s="883">
        <v>210</v>
      </c>
      <c r="E112" s="882">
        <v>8.4</v>
      </c>
      <c r="F112" s="883">
        <v>389</v>
      </c>
      <c r="G112" s="884">
        <v>43.8</v>
      </c>
      <c r="H112" s="888">
        <f>'Развитие жив-ва'!$G$42</f>
        <v>325</v>
      </c>
      <c r="I112" s="889">
        <f>C112*D112*H112/100</f>
        <v>2730</v>
      </c>
      <c r="J112" s="890">
        <f t="shared" ref="J112:J117" si="21">I112*1.1</f>
        <v>3003.0000000000005</v>
      </c>
    </row>
    <row r="113" spans="1:10" ht="15.75" thickBot="1">
      <c r="A113" s="887">
        <v>2</v>
      </c>
      <c r="B113" s="881" t="s">
        <v>759</v>
      </c>
      <c r="C113" s="882">
        <v>2</v>
      </c>
      <c r="D113" s="883">
        <v>210</v>
      </c>
      <c r="E113" s="882">
        <v>4.2</v>
      </c>
      <c r="F113" s="883">
        <v>92</v>
      </c>
      <c r="G113" s="884">
        <v>4.2</v>
      </c>
      <c r="H113" s="888">
        <f>'Развитие жив-ва'!$G$42</f>
        <v>325</v>
      </c>
      <c r="I113" s="889">
        <f>C113*D113*H113/100</f>
        <v>1365</v>
      </c>
      <c r="J113" s="890">
        <f t="shared" si="21"/>
        <v>1501.5000000000002</v>
      </c>
    </row>
    <row r="114" spans="1:10" ht="15.75" thickBot="1">
      <c r="A114" s="887">
        <v>3</v>
      </c>
      <c r="B114" s="881" t="s">
        <v>760</v>
      </c>
      <c r="C114" s="882">
        <v>25</v>
      </c>
      <c r="D114" s="883">
        <v>240</v>
      </c>
      <c r="E114" s="882">
        <v>60</v>
      </c>
      <c r="F114" s="883">
        <v>1080</v>
      </c>
      <c r="G114" s="884">
        <v>108</v>
      </c>
      <c r="H114" s="888">
        <f>'Развитие жив-ва'!$G$42</f>
        <v>325</v>
      </c>
      <c r="I114" s="889">
        <f>C114*D114*H114/100</f>
        <v>19500</v>
      </c>
      <c r="J114" s="890">
        <f t="shared" si="21"/>
        <v>21450</v>
      </c>
    </row>
    <row r="115" spans="1:10" ht="15.75" thickBot="1">
      <c r="A115" s="887">
        <v>4</v>
      </c>
      <c r="B115" s="881" t="s">
        <v>761</v>
      </c>
      <c r="C115" s="882">
        <v>5</v>
      </c>
      <c r="D115" s="883">
        <v>200</v>
      </c>
      <c r="E115" s="882">
        <v>10</v>
      </c>
      <c r="F115" s="883">
        <v>120</v>
      </c>
      <c r="G115" s="884">
        <v>9</v>
      </c>
      <c r="H115" s="888">
        <f>'Развитие жив-ва'!$G$42</f>
        <v>325</v>
      </c>
      <c r="I115" s="889">
        <f>C115*D115*H115/100</f>
        <v>3250</v>
      </c>
      <c r="J115" s="890">
        <f t="shared" si="21"/>
        <v>3575.0000000000005</v>
      </c>
    </row>
    <row r="116" spans="1:10" ht="15.75" thickBot="1">
      <c r="A116" s="887">
        <v>5</v>
      </c>
      <c r="B116" s="881" t="s">
        <v>762</v>
      </c>
      <c r="C116" s="882">
        <v>40</v>
      </c>
      <c r="D116" s="883">
        <v>155</v>
      </c>
      <c r="E116" s="882">
        <v>62</v>
      </c>
      <c r="F116" s="883">
        <v>1116</v>
      </c>
      <c r="G116" s="884">
        <v>111.6</v>
      </c>
      <c r="H116" s="888">
        <f>'Развитие жив-ва'!$G$42</f>
        <v>325</v>
      </c>
      <c r="I116" s="889">
        <f>C116*D116*H116/100</f>
        <v>20150</v>
      </c>
      <c r="J116" s="890">
        <f t="shared" si="21"/>
        <v>22165</v>
      </c>
    </row>
    <row r="117" spans="1:10" ht="35.25" thickBot="1">
      <c r="A117" s="891">
        <v>6</v>
      </c>
      <c r="B117" s="892" t="s">
        <v>763</v>
      </c>
      <c r="C117" s="879" t="s">
        <v>754</v>
      </c>
      <c r="D117" s="893" t="s">
        <v>754</v>
      </c>
      <c r="E117" s="879">
        <v>6</v>
      </c>
      <c r="F117" s="893">
        <v>558</v>
      </c>
      <c r="G117" s="894">
        <v>84</v>
      </c>
      <c r="H117" s="888">
        <f>'Развитие жив-ва'!$G$42</f>
        <v>325</v>
      </c>
      <c r="I117" s="940">
        <f>E117*H117</f>
        <v>1950</v>
      </c>
      <c r="J117" s="941">
        <f t="shared" si="21"/>
        <v>2145</v>
      </c>
    </row>
    <row r="118" spans="1:10" ht="15.75" thickBot="1">
      <c r="A118" s="897"/>
      <c r="B118" s="898" t="s">
        <v>764</v>
      </c>
      <c r="C118" s="899"/>
      <c r="D118" s="900"/>
      <c r="E118" s="899"/>
      <c r="F118" s="901">
        <v>3355</v>
      </c>
      <c r="G118" s="902">
        <v>360.6</v>
      </c>
      <c r="H118" s="885" t="s">
        <v>754</v>
      </c>
      <c r="I118" s="882" t="s">
        <v>754</v>
      </c>
      <c r="J118" s="883" t="s">
        <v>754</v>
      </c>
    </row>
    <row r="119" spans="1:10" ht="15.75" thickBot="1">
      <c r="A119" s="1378" t="s">
        <v>798</v>
      </c>
      <c r="B119" s="1379"/>
      <c r="C119" s="1379"/>
      <c r="D119" s="1379"/>
      <c r="E119" s="1379"/>
      <c r="F119" s="1379"/>
      <c r="G119" s="1379"/>
      <c r="H119" s="1379"/>
      <c r="I119" s="1379"/>
      <c r="J119" s="1380"/>
    </row>
    <row r="120" spans="1:10" ht="15.75" thickBot="1">
      <c r="A120" s="887" t="s">
        <v>754</v>
      </c>
      <c r="B120" s="930" t="s">
        <v>755</v>
      </c>
      <c r="C120" s="901" t="s">
        <v>754</v>
      </c>
      <c r="D120" s="931" t="s">
        <v>754</v>
      </c>
      <c r="E120" s="932" t="s">
        <v>754</v>
      </c>
      <c r="F120" s="933" t="s">
        <v>765</v>
      </c>
      <c r="G120" s="934" t="s">
        <v>766</v>
      </c>
      <c r="H120" s="935" t="s">
        <v>754</v>
      </c>
      <c r="I120" s="935" t="s">
        <v>754</v>
      </c>
      <c r="J120" s="935" t="s">
        <v>754</v>
      </c>
    </row>
    <row r="121" spans="1:10" ht="15.75" thickBot="1">
      <c r="A121" s="887">
        <v>1</v>
      </c>
      <c r="B121" s="936" t="s">
        <v>767</v>
      </c>
      <c r="C121" s="924">
        <v>4</v>
      </c>
      <c r="D121" s="901">
        <v>210</v>
      </c>
      <c r="E121" s="902">
        <v>8.4</v>
      </c>
      <c r="F121" s="901">
        <v>389</v>
      </c>
      <c r="G121" s="902">
        <v>44</v>
      </c>
      <c r="H121" s="925">
        <f>'Развитие жив-ва'!$G$45</f>
        <v>50</v>
      </c>
      <c r="I121" s="889">
        <f t="shared" ref="I121:I126" si="22">C121*D121*H121/100</f>
        <v>420</v>
      </c>
      <c r="J121" s="890">
        <f t="shared" ref="J121:J126" si="23">I121*1.1</f>
        <v>462.00000000000006</v>
      </c>
    </row>
    <row r="122" spans="1:10" ht="15.75" thickBot="1">
      <c r="A122" s="887">
        <v>2</v>
      </c>
      <c r="B122" s="881" t="s">
        <v>768</v>
      </c>
      <c r="C122" s="882">
        <v>10</v>
      </c>
      <c r="D122" s="883">
        <v>210</v>
      </c>
      <c r="E122" s="882">
        <v>21</v>
      </c>
      <c r="F122" s="883">
        <v>630</v>
      </c>
      <c r="G122" s="884">
        <v>53</v>
      </c>
      <c r="H122" s="925">
        <f>'Развитие жив-ва'!$G$45</f>
        <v>50</v>
      </c>
      <c r="I122" s="889">
        <f t="shared" si="22"/>
        <v>1050</v>
      </c>
      <c r="J122" s="890">
        <f t="shared" si="23"/>
        <v>1155</v>
      </c>
    </row>
    <row r="123" spans="1:10" ht="15.75" thickBot="1">
      <c r="A123" s="887">
        <v>3</v>
      </c>
      <c r="B123" s="881" t="s">
        <v>760</v>
      </c>
      <c r="C123" s="882">
        <v>14</v>
      </c>
      <c r="D123" s="883">
        <v>240</v>
      </c>
      <c r="E123" s="882">
        <v>33.6</v>
      </c>
      <c r="F123" s="883">
        <v>672</v>
      </c>
      <c r="G123" s="884">
        <v>47</v>
      </c>
      <c r="H123" s="925">
        <f>'Развитие жив-ва'!$G$45</f>
        <v>50</v>
      </c>
      <c r="I123" s="889">
        <f t="shared" si="22"/>
        <v>1680</v>
      </c>
      <c r="J123" s="890">
        <f t="shared" si="23"/>
        <v>1848.0000000000002</v>
      </c>
    </row>
    <row r="124" spans="1:10" ht="15.75" thickBot="1">
      <c r="A124" s="887">
        <v>4</v>
      </c>
      <c r="B124" s="881" t="s">
        <v>769</v>
      </c>
      <c r="C124" s="882">
        <v>8</v>
      </c>
      <c r="D124" s="883">
        <v>200</v>
      </c>
      <c r="E124" s="882">
        <v>16</v>
      </c>
      <c r="F124" s="883">
        <v>480</v>
      </c>
      <c r="G124" s="884">
        <v>26</v>
      </c>
      <c r="H124" s="925">
        <f>'Развитие жив-ва'!$G$45</f>
        <v>50</v>
      </c>
      <c r="I124" s="889">
        <f t="shared" si="22"/>
        <v>800</v>
      </c>
      <c r="J124" s="890">
        <f t="shared" si="23"/>
        <v>880.00000000000011</v>
      </c>
    </row>
    <row r="125" spans="1:10" ht="15.75" thickBot="1">
      <c r="A125" s="887">
        <v>5</v>
      </c>
      <c r="B125" s="881" t="s">
        <v>770</v>
      </c>
      <c r="C125" s="882">
        <v>35</v>
      </c>
      <c r="D125" s="883">
        <v>155</v>
      </c>
      <c r="E125" s="882">
        <v>54.25</v>
      </c>
      <c r="F125" s="883">
        <v>922</v>
      </c>
      <c r="G125" s="884">
        <v>136</v>
      </c>
      <c r="H125" s="925">
        <f>'Развитие жив-ва'!$G$45</f>
        <v>50</v>
      </c>
      <c r="I125" s="889">
        <f t="shared" si="22"/>
        <v>2712.5</v>
      </c>
      <c r="J125" s="890">
        <f t="shared" si="23"/>
        <v>2983.7500000000005</v>
      </c>
    </row>
    <row r="126" spans="1:10" ht="15.75" thickBot="1">
      <c r="A126" s="891">
        <v>6</v>
      </c>
      <c r="B126" s="881" t="s">
        <v>771</v>
      </c>
      <c r="C126" s="882">
        <v>5.5</v>
      </c>
      <c r="D126" s="883">
        <v>365</v>
      </c>
      <c r="E126" s="879">
        <v>20.100000000000001</v>
      </c>
      <c r="F126" s="883">
        <v>2429</v>
      </c>
      <c r="G126" s="884">
        <v>163</v>
      </c>
      <c r="H126" s="925">
        <f>'Развитие жив-ва'!$G$45</f>
        <v>50</v>
      </c>
      <c r="I126" s="889">
        <f t="shared" si="22"/>
        <v>1003.75</v>
      </c>
      <c r="J126" s="890">
        <f t="shared" si="23"/>
        <v>1104.125</v>
      </c>
    </row>
    <row r="127" spans="1:10" ht="15.75" thickBot="1">
      <c r="A127" s="1381" t="s">
        <v>764</v>
      </c>
      <c r="B127" s="1382"/>
      <c r="C127" s="882" t="s">
        <v>754</v>
      </c>
      <c r="D127" s="883" t="s">
        <v>754</v>
      </c>
      <c r="E127" s="924" t="s">
        <v>754</v>
      </c>
      <c r="F127" s="883">
        <v>5522</v>
      </c>
      <c r="G127" s="884">
        <v>469</v>
      </c>
      <c r="H127" s="885" t="s">
        <v>754</v>
      </c>
      <c r="I127" s="882" t="s">
        <v>754</v>
      </c>
      <c r="J127" s="883" t="s">
        <v>754</v>
      </c>
    </row>
    <row r="128" spans="1:10" ht="15.75" thickBot="1">
      <c r="A128" s="1378" t="s">
        <v>799</v>
      </c>
      <c r="B128" s="1379"/>
      <c r="C128" s="1379"/>
      <c r="D128" s="1379"/>
      <c r="E128" s="1379"/>
      <c r="F128" s="1379"/>
      <c r="G128" s="1379"/>
      <c r="H128" s="1379"/>
      <c r="I128" s="1379"/>
      <c r="J128" s="1380"/>
    </row>
    <row r="129" spans="1:10" ht="24" thickBot="1">
      <c r="A129" s="887" t="s">
        <v>754</v>
      </c>
      <c r="B129" s="923" t="s">
        <v>755</v>
      </c>
      <c r="C129" s="924" t="s">
        <v>754</v>
      </c>
      <c r="D129" s="901" t="s">
        <v>754</v>
      </c>
      <c r="E129" s="924" t="s">
        <v>754</v>
      </c>
      <c r="F129" s="901" t="s">
        <v>756</v>
      </c>
      <c r="G129" s="902" t="s">
        <v>757</v>
      </c>
      <c r="H129" s="925" t="s">
        <v>754</v>
      </c>
      <c r="I129" s="926" t="s">
        <v>754</v>
      </c>
      <c r="J129" s="901" t="s">
        <v>754</v>
      </c>
    </row>
    <row r="130" spans="1:10" ht="15.75" thickBot="1">
      <c r="A130" s="887">
        <v>1</v>
      </c>
      <c r="B130" s="881" t="s">
        <v>758</v>
      </c>
      <c r="C130" s="882">
        <v>4</v>
      </c>
      <c r="D130" s="883">
        <v>210</v>
      </c>
      <c r="E130" s="882">
        <v>8.4</v>
      </c>
      <c r="F130" s="883">
        <v>389</v>
      </c>
      <c r="G130" s="884">
        <v>43.8</v>
      </c>
      <c r="H130" s="888">
        <f>'Развитие жив-ва'!$G$56</f>
        <v>1900</v>
      </c>
      <c r="I130" s="889">
        <f>C130*D130*H130/100</f>
        <v>15960</v>
      </c>
      <c r="J130" s="890">
        <f t="shared" ref="J130:J135" si="24">I130*1.1</f>
        <v>17556</v>
      </c>
    </row>
    <row r="131" spans="1:10" ht="15.75" thickBot="1">
      <c r="A131" s="887">
        <v>2</v>
      </c>
      <c r="B131" s="881" t="s">
        <v>759</v>
      </c>
      <c r="C131" s="882">
        <v>2</v>
      </c>
      <c r="D131" s="883">
        <v>210</v>
      </c>
      <c r="E131" s="882">
        <v>4.2</v>
      </c>
      <c r="F131" s="883">
        <v>92</v>
      </c>
      <c r="G131" s="884">
        <v>4.2</v>
      </c>
      <c r="H131" s="888">
        <f>'Развитие жив-ва'!$G$56</f>
        <v>1900</v>
      </c>
      <c r="I131" s="889">
        <f>C131*D131*H131/100</f>
        <v>7980</v>
      </c>
      <c r="J131" s="890">
        <f t="shared" si="24"/>
        <v>8778</v>
      </c>
    </row>
    <row r="132" spans="1:10" ht="15.75" thickBot="1">
      <c r="A132" s="887">
        <v>3</v>
      </c>
      <c r="B132" s="881" t="s">
        <v>760</v>
      </c>
      <c r="C132" s="882">
        <v>25</v>
      </c>
      <c r="D132" s="883">
        <v>240</v>
      </c>
      <c r="E132" s="882">
        <v>60</v>
      </c>
      <c r="F132" s="883">
        <v>1080</v>
      </c>
      <c r="G132" s="884">
        <v>108</v>
      </c>
      <c r="H132" s="888">
        <f>'Развитие жив-ва'!$G$56</f>
        <v>1900</v>
      </c>
      <c r="I132" s="889">
        <f>C132*D132*H132/100</f>
        <v>114000</v>
      </c>
      <c r="J132" s="890">
        <f t="shared" si="24"/>
        <v>125400.00000000001</v>
      </c>
    </row>
    <row r="133" spans="1:10" ht="15.75" thickBot="1">
      <c r="A133" s="887">
        <v>4</v>
      </c>
      <c r="B133" s="881" t="s">
        <v>761</v>
      </c>
      <c r="C133" s="882">
        <v>5</v>
      </c>
      <c r="D133" s="883">
        <v>200</v>
      </c>
      <c r="E133" s="882">
        <v>10</v>
      </c>
      <c r="F133" s="883">
        <v>120</v>
      </c>
      <c r="G133" s="884">
        <v>9</v>
      </c>
      <c r="H133" s="888">
        <f>'Развитие жив-ва'!$G$56</f>
        <v>1900</v>
      </c>
      <c r="I133" s="889">
        <f>C133*D133*H133/100</f>
        <v>19000</v>
      </c>
      <c r="J133" s="890">
        <f t="shared" si="24"/>
        <v>20900</v>
      </c>
    </row>
    <row r="134" spans="1:10" ht="15.75" thickBot="1">
      <c r="A134" s="887">
        <v>5</v>
      </c>
      <c r="B134" s="881" t="s">
        <v>762</v>
      </c>
      <c r="C134" s="882">
        <v>40</v>
      </c>
      <c r="D134" s="883">
        <v>155</v>
      </c>
      <c r="E134" s="882">
        <v>62</v>
      </c>
      <c r="F134" s="883">
        <v>1116</v>
      </c>
      <c r="G134" s="884">
        <v>111.6</v>
      </c>
      <c r="H134" s="888">
        <f>'Развитие жив-ва'!$G$56</f>
        <v>1900</v>
      </c>
      <c r="I134" s="889">
        <f>C134*D134*H134/100</f>
        <v>117800</v>
      </c>
      <c r="J134" s="890">
        <f t="shared" si="24"/>
        <v>129580.00000000001</v>
      </c>
    </row>
    <row r="135" spans="1:10" ht="35.25" thickBot="1">
      <c r="A135" s="891">
        <v>6</v>
      </c>
      <c r="B135" s="892" t="s">
        <v>763</v>
      </c>
      <c r="C135" s="879" t="s">
        <v>754</v>
      </c>
      <c r="D135" s="893" t="s">
        <v>754</v>
      </c>
      <c r="E135" s="879">
        <v>6</v>
      </c>
      <c r="F135" s="893">
        <v>558</v>
      </c>
      <c r="G135" s="894">
        <v>84</v>
      </c>
      <c r="H135" s="888">
        <f>'Развитие жив-ва'!$G$56</f>
        <v>1900</v>
      </c>
      <c r="I135" s="895">
        <f>E135*H135</f>
        <v>11400</v>
      </c>
      <c r="J135" s="896">
        <f t="shared" si="24"/>
        <v>12540.000000000002</v>
      </c>
    </row>
    <row r="136" spans="1:10" ht="15.75" thickBot="1">
      <c r="A136" s="897"/>
      <c r="B136" s="898" t="s">
        <v>764</v>
      </c>
      <c r="C136" s="899"/>
      <c r="D136" s="900"/>
      <c r="E136" s="899"/>
      <c r="F136" s="901">
        <v>3355</v>
      </c>
      <c r="G136" s="902">
        <v>360.6</v>
      </c>
      <c r="H136" s="885" t="s">
        <v>754</v>
      </c>
      <c r="I136" s="882" t="s">
        <v>754</v>
      </c>
      <c r="J136" s="883" t="s">
        <v>754</v>
      </c>
    </row>
    <row r="137" spans="1:10" ht="15.75" thickBot="1">
      <c r="A137" s="1378" t="s">
        <v>806</v>
      </c>
      <c r="B137" s="1379"/>
      <c r="C137" s="1379"/>
      <c r="D137" s="1379"/>
      <c r="E137" s="1379"/>
      <c r="F137" s="1379"/>
      <c r="G137" s="1379"/>
      <c r="H137" s="1379"/>
      <c r="I137" s="1379"/>
      <c r="J137" s="1380"/>
    </row>
    <row r="138" spans="1:10" ht="15.75" thickBot="1">
      <c r="A138" s="887" t="s">
        <v>754</v>
      </c>
      <c r="B138" s="930" t="s">
        <v>755</v>
      </c>
      <c r="C138" s="901" t="s">
        <v>754</v>
      </c>
      <c r="D138" s="931" t="s">
        <v>754</v>
      </c>
      <c r="E138" s="932" t="s">
        <v>754</v>
      </c>
      <c r="F138" s="933" t="s">
        <v>765</v>
      </c>
      <c r="G138" s="934" t="s">
        <v>766</v>
      </c>
      <c r="H138" s="935" t="s">
        <v>754</v>
      </c>
      <c r="I138" s="935" t="s">
        <v>754</v>
      </c>
      <c r="J138" s="935" t="s">
        <v>754</v>
      </c>
    </row>
    <row r="139" spans="1:10" ht="15.75" thickBot="1">
      <c r="A139" s="887">
        <v>1</v>
      </c>
      <c r="B139" s="936" t="s">
        <v>767</v>
      </c>
      <c r="C139" s="924">
        <v>4</v>
      </c>
      <c r="D139" s="901">
        <v>210</v>
      </c>
      <c r="E139" s="902">
        <v>8.4</v>
      </c>
      <c r="F139" s="901">
        <v>389</v>
      </c>
      <c r="G139" s="902">
        <v>44</v>
      </c>
      <c r="H139" s="925">
        <f>'Развитие жив-ва'!$G$58</f>
        <v>140</v>
      </c>
      <c r="I139" s="889">
        <f t="shared" ref="I139:I144" si="25">C139*D139*H139/100</f>
        <v>1176</v>
      </c>
      <c r="J139" s="890">
        <f t="shared" ref="J139:J144" si="26">I139*1.1</f>
        <v>1293.6000000000001</v>
      </c>
    </row>
    <row r="140" spans="1:10" ht="15.75" thickBot="1">
      <c r="A140" s="887">
        <v>2</v>
      </c>
      <c r="B140" s="881" t="s">
        <v>768</v>
      </c>
      <c r="C140" s="882">
        <v>10</v>
      </c>
      <c r="D140" s="883">
        <v>210</v>
      </c>
      <c r="E140" s="882">
        <v>21</v>
      </c>
      <c r="F140" s="883">
        <v>630</v>
      </c>
      <c r="G140" s="884">
        <v>53</v>
      </c>
      <c r="H140" s="925">
        <f>'Развитие жив-ва'!$G$58</f>
        <v>140</v>
      </c>
      <c r="I140" s="889">
        <f t="shared" si="25"/>
        <v>2940</v>
      </c>
      <c r="J140" s="890">
        <f t="shared" si="26"/>
        <v>3234.0000000000005</v>
      </c>
    </row>
    <row r="141" spans="1:10" ht="15.75" thickBot="1">
      <c r="A141" s="887">
        <v>3</v>
      </c>
      <c r="B141" s="881" t="s">
        <v>760</v>
      </c>
      <c r="C141" s="882">
        <v>14</v>
      </c>
      <c r="D141" s="883">
        <v>240</v>
      </c>
      <c r="E141" s="882">
        <v>33.6</v>
      </c>
      <c r="F141" s="883">
        <v>672</v>
      </c>
      <c r="G141" s="884">
        <v>47</v>
      </c>
      <c r="H141" s="925">
        <f>'Развитие жив-ва'!$G$58</f>
        <v>140</v>
      </c>
      <c r="I141" s="889">
        <f t="shared" si="25"/>
        <v>4704</v>
      </c>
      <c r="J141" s="890">
        <f t="shared" si="26"/>
        <v>5174.4000000000005</v>
      </c>
    </row>
    <row r="142" spans="1:10" ht="15.75" thickBot="1">
      <c r="A142" s="887">
        <v>4</v>
      </c>
      <c r="B142" s="881" t="s">
        <v>769</v>
      </c>
      <c r="C142" s="882">
        <v>8</v>
      </c>
      <c r="D142" s="883">
        <v>200</v>
      </c>
      <c r="E142" s="882">
        <v>16</v>
      </c>
      <c r="F142" s="883">
        <v>480</v>
      </c>
      <c r="G142" s="884">
        <v>26</v>
      </c>
      <c r="H142" s="925">
        <f>'Развитие жив-ва'!$G$58</f>
        <v>140</v>
      </c>
      <c r="I142" s="889">
        <f t="shared" si="25"/>
        <v>2240</v>
      </c>
      <c r="J142" s="890">
        <f t="shared" si="26"/>
        <v>2464</v>
      </c>
    </row>
    <row r="143" spans="1:10" ht="15.75" thickBot="1">
      <c r="A143" s="887">
        <v>5</v>
      </c>
      <c r="B143" s="881" t="s">
        <v>770</v>
      </c>
      <c r="C143" s="882">
        <v>35</v>
      </c>
      <c r="D143" s="883">
        <v>155</v>
      </c>
      <c r="E143" s="882">
        <v>54.25</v>
      </c>
      <c r="F143" s="883">
        <v>922</v>
      </c>
      <c r="G143" s="884">
        <v>136</v>
      </c>
      <c r="H143" s="925">
        <f>'Развитие жив-ва'!$G$58</f>
        <v>140</v>
      </c>
      <c r="I143" s="889">
        <f t="shared" si="25"/>
        <v>7595</v>
      </c>
      <c r="J143" s="890">
        <f t="shared" si="26"/>
        <v>8354.5</v>
      </c>
    </row>
    <row r="144" spans="1:10" ht="15.75" thickBot="1">
      <c r="A144" s="891">
        <v>6</v>
      </c>
      <c r="B144" s="881" t="s">
        <v>771</v>
      </c>
      <c r="C144" s="882">
        <v>5.5</v>
      </c>
      <c r="D144" s="883">
        <v>365</v>
      </c>
      <c r="E144" s="879">
        <v>20.100000000000001</v>
      </c>
      <c r="F144" s="883">
        <v>2429</v>
      </c>
      <c r="G144" s="884">
        <v>163</v>
      </c>
      <c r="H144" s="925">
        <f>'Развитие жив-ва'!$G$58</f>
        <v>140</v>
      </c>
      <c r="I144" s="889">
        <f t="shared" si="25"/>
        <v>2810.5</v>
      </c>
      <c r="J144" s="890">
        <f t="shared" si="26"/>
        <v>3091.55</v>
      </c>
    </row>
    <row r="145" spans="1:10" ht="15.75" thickBot="1">
      <c r="A145" s="1381" t="s">
        <v>764</v>
      </c>
      <c r="B145" s="1382"/>
      <c r="C145" s="882" t="s">
        <v>754</v>
      </c>
      <c r="D145" s="883" t="s">
        <v>754</v>
      </c>
      <c r="E145" s="924" t="s">
        <v>754</v>
      </c>
      <c r="F145" s="883">
        <v>5522</v>
      </c>
      <c r="G145" s="884">
        <v>469</v>
      </c>
      <c r="H145" s="885" t="s">
        <v>754</v>
      </c>
      <c r="I145" s="882" t="s">
        <v>754</v>
      </c>
      <c r="J145" s="883" t="s">
        <v>754</v>
      </c>
    </row>
    <row r="146" spans="1:10" ht="15.75" thickBot="1">
      <c r="A146" s="1378" t="s">
        <v>800</v>
      </c>
      <c r="B146" s="1379"/>
      <c r="C146" s="1379"/>
      <c r="D146" s="1379"/>
      <c r="E146" s="1379"/>
      <c r="F146" s="1379"/>
      <c r="G146" s="1379"/>
      <c r="H146" s="1379"/>
      <c r="I146" s="1379"/>
      <c r="J146" s="1380"/>
    </row>
    <row r="147" spans="1:10" ht="24" thickBot="1">
      <c r="A147" s="887" t="s">
        <v>754</v>
      </c>
      <c r="B147" s="923" t="s">
        <v>755</v>
      </c>
      <c r="C147" s="924" t="s">
        <v>754</v>
      </c>
      <c r="D147" s="901" t="s">
        <v>754</v>
      </c>
      <c r="E147" s="924" t="s">
        <v>754</v>
      </c>
      <c r="F147" s="901" t="s">
        <v>756</v>
      </c>
      <c r="G147" s="902" t="s">
        <v>757</v>
      </c>
      <c r="H147" s="925" t="s">
        <v>754</v>
      </c>
      <c r="I147" s="926" t="s">
        <v>754</v>
      </c>
      <c r="J147" s="901" t="s">
        <v>754</v>
      </c>
    </row>
    <row r="148" spans="1:10" ht="15.75" thickBot="1">
      <c r="A148" s="887">
        <v>1</v>
      </c>
      <c r="B148" s="881" t="s">
        <v>758</v>
      </c>
      <c r="C148" s="882">
        <v>4</v>
      </c>
      <c r="D148" s="883">
        <v>210</v>
      </c>
      <c r="E148" s="882">
        <v>8.4</v>
      </c>
      <c r="F148" s="883">
        <v>389</v>
      </c>
      <c r="G148" s="884">
        <v>43.8</v>
      </c>
      <c r="H148" s="888">
        <f>'Развитие жив-ва'!$G$63</f>
        <v>20</v>
      </c>
      <c r="I148" s="889">
        <f>C148*D148*H148/100</f>
        <v>168</v>
      </c>
      <c r="J148" s="890">
        <f t="shared" ref="J148:J153" si="27">I148*1.1</f>
        <v>184.8</v>
      </c>
    </row>
    <row r="149" spans="1:10" ht="15.75" thickBot="1">
      <c r="A149" s="887">
        <v>2</v>
      </c>
      <c r="B149" s="881" t="s">
        <v>759</v>
      </c>
      <c r="C149" s="882">
        <v>2</v>
      </c>
      <c r="D149" s="883">
        <v>210</v>
      </c>
      <c r="E149" s="882">
        <v>4.2</v>
      </c>
      <c r="F149" s="883">
        <v>92</v>
      </c>
      <c r="G149" s="884">
        <v>4.2</v>
      </c>
      <c r="H149" s="888">
        <f>'Развитие жив-ва'!$G$63</f>
        <v>20</v>
      </c>
      <c r="I149" s="889">
        <f>C149*D149*H149/100</f>
        <v>84</v>
      </c>
      <c r="J149" s="890">
        <f t="shared" si="27"/>
        <v>92.4</v>
      </c>
    </row>
    <row r="150" spans="1:10" ht="15.75" thickBot="1">
      <c r="A150" s="887">
        <v>3</v>
      </c>
      <c r="B150" s="881" t="s">
        <v>760</v>
      </c>
      <c r="C150" s="882">
        <v>25</v>
      </c>
      <c r="D150" s="883">
        <v>240</v>
      </c>
      <c r="E150" s="882">
        <v>60</v>
      </c>
      <c r="F150" s="883">
        <v>1080</v>
      </c>
      <c r="G150" s="884">
        <v>108</v>
      </c>
      <c r="H150" s="888">
        <f>'Развитие жив-ва'!$G$63</f>
        <v>20</v>
      </c>
      <c r="I150" s="889">
        <f>C150*D150*H150/100</f>
        <v>1200</v>
      </c>
      <c r="J150" s="890">
        <f t="shared" si="27"/>
        <v>1320</v>
      </c>
    </row>
    <row r="151" spans="1:10" ht="15.75" thickBot="1">
      <c r="A151" s="887">
        <v>4</v>
      </c>
      <c r="B151" s="881" t="s">
        <v>761</v>
      </c>
      <c r="C151" s="882">
        <v>5</v>
      </c>
      <c r="D151" s="883">
        <v>200</v>
      </c>
      <c r="E151" s="882">
        <v>10</v>
      </c>
      <c r="F151" s="883">
        <v>120</v>
      </c>
      <c r="G151" s="884">
        <v>9</v>
      </c>
      <c r="H151" s="888">
        <f>'Развитие жив-ва'!$G$63</f>
        <v>20</v>
      </c>
      <c r="I151" s="889">
        <f>C151*D151*H151/100</f>
        <v>200</v>
      </c>
      <c r="J151" s="890">
        <f t="shared" si="27"/>
        <v>220.00000000000003</v>
      </c>
    </row>
    <row r="152" spans="1:10" ht="15.75" thickBot="1">
      <c r="A152" s="887">
        <v>5</v>
      </c>
      <c r="B152" s="881" t="s">
        <v>762</v>
      </c>
      <c r="C152" s="882">
        <v>40</v>
      </c>
      <c r="D152" s="883">
        <v>155</v>
      </c>
      <c r="E152" s="882">
        <v>62</v>
      </c>
      <c r="F152" s="883">
        <v>1116</v>
      </c>
      <c r="G152" s="884">
        <v>111.6</v>
      </c>
      <c r="H152" s="888">
        <f>'Развитие жив-ва'!$G$63</f>
        <v>20</v>
      </c>
      <c r="I152" s="889">
        <f>C152*D152*H152/100</f>
        <v>1240</v>
      </c>
      <c r="J152" s="890">
        <f t="shared" si="27"/>
        <v>1364</v>
      </c>
    </row>
    <row r="153" spans="1:10" ht="35.25" thickBot="1">
      <c r="A153" s="891">
        <v>6</v>
      </c>
      <c r="B153" s="892" t="s">
        <v>763</v>
      </c>
      <c r="C153" s="879" t="s">
        <v>754</v>
      </c>
      <c r="D153" s="893" t="s">
        <v>754</v>
      </c>
      <c r="E153" s="879">
        <v>6</v>
      </c>
      <c r="F153" s="893">
        <v>558</v>
      </c>
      <c r="G153" s="894">
        <v>84</v>
      </c>
      <c r="H153" s="942">
        <f>'Развитие жив-ва'!$G$63</f>
        <v>20</v>
      </c>
      <c r="I153" s="895">
        <f>E153*H153</f>
        <v>120</v>
      </c>
      <c r="J153" s="896">
        <f t="shared" si="27"/>
        <v>132</v>
      </c>
    </row>
    <row r="154" spans="1:10" ht="15.75" thickBot="1">
      <c r="A154" s="897"/>
      <c r="B154" s="898" t="s">
        <v>764</v>
      </c>
      <c r="C154" s="899"/>
      <c r="D154" s="900"/>
      <c r="E154" s="899"/>
      <c r="F154" s="901">
        <v>3355</v>
      </c>
      <c r="G154" s="902">
        <v>360.6</v>
      </c>
      <c r="H154" s="943" t="s">
        <v>754</v>
      </c>
      <c r="I154" s="924" t="s">
        <v>754</v>
      </c>
      <c r="J154" s="901" t="s">
        <v>754</v>
      </c>
    </row>
    <row r="155" spans="1:10" ht="15.75" thickBot="1">
      <c r="A155" s="1378" t="s">
        <v>801</v>
      </c>
      <c r="B155" s="1379"/>
      <c r="C155" s="1379"/>
      <c r="D155" s="1379"/>
      <c r="E155" s="1379"/>
      <c r="F155" s="1379"/>
      <c r="G155" s="1379"/>
      <c r="H155" s="1379"/>
      <c r="I155" s="1379"/>
      <c r="J155" s="1380"/>
    </row>
    <row r="156" spans="1:10" ht="24" thickBot="1">
      <c r="A156" s="887" t="s">
        <v>754</v>
      </c>
      <c r="B156" s="923" t="s">
        <v>755</v>
      </c>
      <c r="C156" s="924" t="s">
        <v>754</v>
      </c>
      <c r="D156" s="901" t="s">
        <v>754</v>
      </c>
      <c r="E156" s="924" t="s">
        <v>754</v>
      </c>
      <c r="F156" s="901" t="s">
        <v>756</v>
      </c>
      <c r="G156" s="902" t="s">
        <v>757</v>
      </c>
      <c r="H156" s="925" t="s">
        <v>754</v>
      </c>
      <c r="I156" s="926" t="s">
        <v>754</v>
      </c>
      <c r="J156" s="901" t="s">
        <v>754</v>
      </c>
    </row>
    <row r="157" spans="1:10" ht="15.75" thickBot="1">
      <c r="A157" s="887">
        <v>1</v>
      </c>
      <c r="B157" s="881" t="s">
        <v>758</v>
      </c>
      <c r="C157" s="882">
        <v>4</v>
      </c>
      <c r="D157" s="883">
        <v>210</v>
      </c>
      <c r="E157" s="882">
        <v>8.4</v>
      </c>
      <c r="F157" s="883">
        <v>389</v>
      </c>
      <c r="G157" s="884">
        <v>43.8</v>
      </c>
      <c r="H157" s="888">
        <f>'Развитие жив-ва'!$G$69</f>
        <v>170</v>
      </c>
      <c r="I157" s="889">
        <f>C157*D157*H157/100</f>
        <v>1428</v>
      </c>
      <c r="J157" s="890">
        <f t="shared" ref="J157:J162" si="28">I157*1.1</f>
        <v>1570.8000000000002</v>
      </c>
    </row>
    <row r="158" spans="1:10" ht="15.75" thickBot="1">
      <c r="A158" s="887">
        <v>2</v>
      </c>
      <c r="B158" s="881" t="s">
        <v>759</v>
      </c>
      <c r="C158" s="882">
        <v>2</v>
      </c>
      <c r="D158" s="883">
        <v>210</v>
      </c>
      <c r="E158" s="882">
        <v>4.2</v>
      </c>
      <c r="F158" s="883">
        <v>92</v>
      </c>
      <c r="G158" s="884">
        <v>4.2</v>
      </c>
      <c r="H158" s="888">
        <f>'Развитие жив-ва'!$G$69</f>
        <v>170</v>
      </c>
      <c r="I158" s="889">
        <f>C158*D158*H158/100</f>
        <v>714</v>
      </c>
      <c r="J158" s="890">
        <f t="shared" si="28"/>
        <v>785.40000000000009</v>
      </c>
    </row>
    <row r="159" spans="1:10" ht="15.75" thickBot="1">
      <c r="A159" s="887">
        <v>3</v>
      </c>
      <c r="B159" s="881" t="s">
        <v>760</v>
      </c>
      <c r="C159" s="882">
        <v>25</v>
      </c>
      <c r="D159" s="883">
        <v>240</v>
      </c>
      <c r="E159" s="882">
        <v>60</v>
      </c>
      <c r="F159" s="883">
        <v>1080</v>
      </c>
      <c r="G159" s="884">
        <v>108</v>
      </c>
      <c r="H159" s="888">
        <f>'Развитие жив-ва'!$G$69</f>
        <v>170</v>
      </c>
      <c r="I159" s="889">
        <f>C159*D159*H159/100</f>
        <v>10200</v>
      </c>
      <c r="J159" s="890">
        <f t="shared" si="28"/>
        <v>11220</v>
      </c>
    </row>
    <row r="160" spans="1:10" ht="15.75" thickBot="1">
      <c r="A160" s="887">
        <v>4</v>
      </c>
      <c r="B160" s="881" t="s">
        <v>761</v>
      </c>
      <c r="C160" s="882">
        <v>5</v>
      </c>
      <c r="D160" s="883">
        <v>200</v>
      </c>
      <c r="E160" s="882">
        <v>10</v>
      </c>
      <c r="F160" s="883">
        <v>120</v>
      </c>
      <c r="G160" s="884">
        <v>9</v>
      </c>
      <c r="H160" s="888">
        <f>'Развитие жив-ва'!$G$69</f>
        <v>170</v>
      </c>
      <c r="I160" s="889">
        <f>C160*D160*H160/100</f>
        <v>1700</v>
      </c>
      <c r="J160" s="890">
        <f t="shared" si="28"/>
        <v>1870.0000000000002</v>
      </c>
    </row>
    <row r="161" spans="1:10" ht="15.75" thickBot="1">
      <c r="A161" s="887">
        <v>5</v>
      </c>
      <c r="B161" s="881" t="s">
        <v>762</v>
      </c>
      <c r="C161" s="882">
        <v>40</v>
      </c>
      <c r="D161" s="883">
        <v>155</v>
      </c>
      <c r="E161" s="882">
        <v>62</v>
      </c>
      <c r="F161" s="883">
        <v>1116</v>
      </c>
      <c r="G161" s="884">
        <v>111.6</v>
      </c>
      <c r="H161" s="888">
        <f>'Развитие жив-ва'!$G$69</f>
        <v>170</v>
      </c>
      <c r="I161" s="889">
        <f>C161*D161*H161/100</f>
        <v>10540</v>
      </c>
      <c r="J161" s="890">
        <f t="shared" si="28"/>
        <v>11594.000000000002</v>
      </c>
    </row>
    <row r="162" spans="1:10" ht="35.25" thickBot="1">
      <c r="A162" s="891">
        <v>6</v>
      </c>
      <c r="B162" s="892" t="s">
        <v>763</v>
      </c>
      <c r="C162" s="879" t="s">
        <v>754</v>
      </c>
      <c r="D162" s="893" t="s">
        <v>754</v>
      </c>
      <c r="E162" s="879">
        <v>6</v>
      </c>
      <c r="F162" s="893">
        <v>558</v>
      </c>
      <c r="G162" s="894">
        <v>84</v>
      </c>
      <c r="H162" s="888">
        <f>'Развитие жив-ва'!$G$69</f>
        <v>170</v>
      </c>
      <c r="I162" s="895">
        <f>E162*H162</f>
        <v>1020</v>
      </c>
      <c r="J162" s="896">
        <f t="shared" si="28"/>
        <v>1122</v>
      </c>
    </row>
    <row r="163" spans="1:10" ht="15.75" thickBot="1">
      <c r="A163" s="897"/>
      <c r="B163" s="898" t="s">
        <v>764</v>
      </c>
      <c r="C163" s="899"/>
      <c r="D163" s="900"/>
      <c r="E163" s="899"/>
      <c r="F163" s="901">
        <v>3355</v>
      </c>
      <c r="G163" s="902">
        <v>360.6</v>
      </c>
      <c r="H163" s="943" t="s">
        <v>754</v>
      </c>
      <c r="I163" s="924" t="s">
        <v>754</v>
      </c>
      <c r="J163" s="901" t="s">
        <v>754</v>
      </c>
    </row>
    <row r="164" spans="1:10" ht="15.75" thickBot="1">
      <c r="A164" s="1378" t="s">
        <v>802</v>
      </c>
      <c r="B164" s="1379"/>
      <c r="C164" s="1379"/>
      <c r="D164" s="1379"/>
      <c r="E164" s="1379"/>
      <c r="F164" s="1379"/>
      <c r="G164" s="1379"/>
      <c r="H164" s="1379"/>
      <c r="I164" s="1379"/>
      <c r="J164" s="1380"/>
    </row>
    <row r="165" spans="1:10" ht="15.75" thickBot="1">
      <c r="A165" s="887" t="s">
        <v>754</v>
      </c>
      <c r="B165" s="930" t="s">
        <v>755</v>
      </c>
      <c r="C165" s="901" t="s">
        <v>754</v>
      </c>
      <c r="D165" s="931" t="s">
        <v>754</v>
      </c>
      <c r="E165" s="932" t="s">
        <v>754</v>
      </c>
      <c r="F165" s="933" t="s">
        <v>765</v>
      </c>
      <c r="G165" s="934" t="s">
        <v>766</v>
      </c>
      <c r="H165" s="935" t="s">
        <v>754</v>
      </c>
      <c r="I165" s="935" t="s">
        <v>754</v>
      </c>
      <c r="J165" s="935" t="s">
        <v>754</v>
      </c>
    </row>
    <row r="166" spans="1:10" ht="15.75" thickBot="1">
      <c r="A166" s="887">
        <v>1</v>
      </c>
      <c r="B166" s="936" t="s">
        <v>767</v>
      </c>
      <c r="C166" s="924">
        <v>4</v>
      </c>
      <c r="D166" s="901">
        <v>210</v>
      </c>
      <c r="E166" s="902">
        <v>8.4</v>
      </c>
      <c r="F166" s="901">
        <v>389</v>
      </c>
      <c r="G166" s="902">
        <v>44</v>
      </c>
      <c r="H166" s="925">
        <f>'Развитие жив-ва'!$G$72</f>
        <v>5</v>
      </c>
      <c r="I166" s="889">
        <f t="shared" ref="I166:I171" si="29">C166*D166*H166/100</f>
        <v>42</v>
      </c>
      <c r="J166" s="890">
        <f t="shared" ref="J166:J171" si="30">I166*1.1</f>
        <v>46.2</v>
      </c>
    </row>
    <row r="167" spans="1:10" ht="15.75" thickBot="1">
      <c r="A167" s="887">
        <v>2</v>
      </c>
      <c r="B167" s="881" t="s">
        <v>768</v>
      </c>
      <c r="C167" s="882">
        <v>10</v>
      </c>
      <c r="D167" s="883">
        <v>210</v>
      </c>
      <c r="E167" s="882">
        <v>21</v>
      </c>
      <c r="F167" s="883">
        <v>630</v>
      </c>
      <c r="G167" s="884">
        <v>53</v>
      </c>
      <c r="H167" s="925">
        <f>'Развитие жив-ва'!$G$72</f>
        <v>5</v>
      </c>
      <c r="I167" s="889">
        <f t="shared" si="29"/>
        <v>105</v>
      </c>
      <c r="J167" s="890">
        <f t="shared" si="30"/>
        <v>115.50000000000001</v>
      </c>
    </row>
    <row r="168" spans="1:10" ht="15.75" thickBot="1">
      <c r="A168" s="887">
        <v>3</v>
      </c>
      <c r="B168" s="881" t="s">
        <v>760</v>
      </c>
      <c r="C168" s="882">
        <v>14</v>
      </c>
      <c r="D168" s="883">
        <v>240</v>
      </c>
      <c r="E168" s="882">
        <v>33.6</v>
      </c>
      <c r="F168" s="883">
        <v>672</v>
      </c>
      <c r="G168" s="884">
        <v>47</v>
      </c>
      <c r="H168" s="925">
        <f>'Развитие жив-ва'!$G$72</f>
        <v>5</v>
      </c>
      <c r="I168" s="889">
        <f t="shared" si="29"/>
        <v>168</v>
      </c>
      <c r="J168" s="890">
        <f t="shared" si="30"/>
        <v>184.8</v>
      </c>
    </row>
    <row r="169" spans="1:10" ht="15.75" thickBot="1">
      <c r="A169" s="887">
        <v>4</v>
      </c>
      <c r="B169" s="881" t="s">
        <v>769</v>
      </c>
      <c r="C169" s="882">
        <v>8</v>
      </c>
      <c r="D169" s="883">
        <v>200</v>
      </c>
      <c r="E169" s="882">
        <v>16</v>
      </c>
      <c r="F169" s="883">
        <v>480</v>
      </c>
      <c r="G169" s="884">
        <v>26</v>
      </c>
      <c r="H169" s="925">
        <f>'Развитие жив-ва'!$G$72</f>
        <v>5</v>
      </c>
      <c r="I169" s="889">
        <f t="shared" si="29"/>
        <v>80</v>
      </c>
      <c r="J169" s="890">
        <f t="shared" si="30"/>
        <v>88</v>
      </c>
    </row>
    <row r="170" spans="1:10" ht="15.75" thickBot="1">
      <c r="A170" s="887">
        <v>5</v>
      </c>
      <c r="B170" s="881" t="s">
        <v>770</v>
      </c>
      <c r="C170" s="882">
        <v>35</v>
      </c>
      <c r="D170" s="883">
        <v>155</v>
      </c>
      <c r="E170" s="882">
        <v>54.25</v>
      </c>
      <c r="F170" s="883">
        <v>922</v>
      </c>
      <c r="G170" s="884">
        <v>136</v>
      </c>
      <c r="H170" s="925">
        <f>'Развитие жив-ва'!$G$72</f>
        <v>5</v>
      </c>
      <c r="I170" s="889">
        <f t="shared" si="29"/>
        <v>271.25</v>
      </c>
      <c r="J170" s="890">
        <f t="shared" si="30"/>
        <v>298.375</v>
      </c>
    </row>
    <row r="171" spans="1:10" ht="15.75" thickBot="1">
      <c r="A171" s="891">
        <v>6</v>
      </c>
      <c r="B171" s="881" t="s">
        <v>771</v>
      </c>
      <c r="C171" s="882">
        <v>5.5</v>
      </c>
      <c r="D171" s="883">
        <v>365</v>
      </c>
      <c r="E171" s="879">
        <v>20.100000000000001</v>
      </c>
      <c r="F171" s="883">
        <v>2429</v>
      </c>
      <c r="G171" s="884">
        <v>163</v>
      </c>
      <c r="H171" s="925">
        <f>'Развитие жив-ва'!$G$72</f>
        <v>5</v>
      </c>
      <c r="I171" s="889">
        <f t="shared" si="29"/>
        <v>100.375</v>
      </c>
      <c r="J171" s="890">
        <f t="shared" si="30"/>
        <v>110.41250000000001</v>
      </c>
    </row>
    <row r="172" spans="1:10" ht="15.75" thickBot="1">
      <c r="A172" s="1381" t="s">
        <v>764</v>
      </c>
      <c r="B172" s="1382"/>
      <c r="C172" s="882" t="s">
        <v>754</v>
      </c>
      <c r="D172" s="883" t="s">
        <v>754</v>
      </c>
      <c r="E172" s="924" t="s">
        <v>754</v>
      </c>
      <c r="F172" s="883">
        <v>5522</v>
      </c>
      <c r="G172" s="884">
        <v>469</v>
      </c>
      <c r="H172" s="885" t="s">
        <v>754</v>
      </c>
      <c r="I172" s="882" t="s">
        <v>754</v>
      </c>
      <c r="J172" s="883" t="s">
        <v>754</v>
      </c>
    </row>
    <row r="173" spans="1:10" ht="15.75" thickBot="1">
      <c r="A173" s="1391" t="s">
        <v>803</v>
      </c>
      <c r="B173" s="1392"/>
      <c r="C173" s="1392"/>
      <c r="D173" s="1392"/>
      <c r="E173" s="1392"/>
      <c r="F173" s="1392"/>
      <c r="G173" s="1392"/>
      <c r="H173" s="1392"/>
      <c r="I173" s="1392"/>
      <c r="J173" s="1382"/>
    </row>
    <row r="174" spans="1:10">
      <c r="A174" s="1383" t="s">
        <v>754</v>
      </c>
      <c r="B174" s="1385" t="s">
        <v>755</v>
      </c>
      <c r="C174" s="1387" t="s">
        <v>754</v>
      </c>
      <c r="D174" s="1383" t="s">
        <v>754</v>
      </c>
      <c r="E174" s="1383" t="s">
        <v>754</v>
      </c>
      <c r="F174" s="905" t="s">
        <v>772</v>
      </c>
      <c r="G174" s="906" t="s">
        <v>773</v>
      </c>
      <c r="H174" s="1389" t="s">
        <v>754</v>
      </c>
      <c r="I174" s="1387" t="s">
        <v>754</v>
      </c>
      <c r="J174" s="1383" t="s">
        <v>754</v>
      </c>
    </row>
    <row r="175" spans="1:10" ht="15.75" thickBot="1">
      <c r="A175" s="1384"/>
      <c r="B175" s="1386"/>
      <c r="C175" s="1388"/>
      <c r="D175" s="1384"/>
      <c r="E175" s="1384"/>
      <c r="F175" s="907">
        <v>1679</v>
      </c>
      <c r="G175" s="908">
        <v>204</v>
      </c>
      <c r="H175" s="1390"/>
      <c r="I175" s="1388"/>
      <c r="J175" s="1384"/>
    </row>
    <row r="176" spans="1:10" ht="15.75" thickBot="1">
      <c r="A176" s="909" t="s">
        <v>774</v>
      </c>
      <c r="B176" s="910" t="s">
        <v>775</v>
      </c>
      <c r="C176" s="911">
        <v>1.5</v>
      </c>
      <c r="D176" s="907">
        <v>365</v>
      </c>
      <c r="E176" s="912">
        <f t="shared" ref="E176:E181" si="31">C176*D176/100</f>
        <v>5.4749999999999996</v>
      </c>
      <c r="F176" s="907">
        <v>547</v>
      </c>
      <c r="G176" s="908">
        <v>44.3</v>
      </c>
      <c r="H176" s="913">
        <f>'Развитие жив-ва'!$G$71</f>
        <v>80</v>
      </c>
      <c r="I176" s="889">
        <f t="shared" ref="I176:I181" si="32">C176*D176*H176/100</f>
        <v>438</v>
      </c>
      <c r="J176" s="914">
        <f t="shared" ref="J176:J181" si="33">I176*1.1</f>
        <v>481.8</v>
      </c>
    </row>
    <row r="177" spans="1:10" ht="15.75" thickBot="1">
      <c r="A177" s="909" t="s">
        <v>776</v>
      </c>
      <c r="B177" s="910" t="s">
        <v>777</v>
      </c>
      <c r="C177" s="911">
        <v>0.5</v>
      </c>
      <c r="D177" s="907">
        <v>365</v>
      </c>
      <c r="E177" s="912">
        <f t="shared" si="31"/>
        <v>1.825</v>
      </c>
      <c r="F177" s="907">
        <v>130</v>
      </c>
      <c r="G177" s="908">
        <v>30</v>
      </c>
      <c r="H177" s="913">
        <f>'Развитие жив-ва'!$G$71</f>
        <v>80</v>
      </c>
      <c r="I177" s="889">
        <f t="shared" si="32"/>
        <v>146</v>
      </c>
      <c r="J177" s="914">
        <f t="shared" si="33"/>
        <v>160.60000000000002</v>
      </c>
    </row>
    <row r="178" spans="1:10" ht="15.75" thickBot="1">
      <c r="A178" s="909" t="s">
        <v>778</v>
      </c>
      <c r="B178" s="910" t="s">
        <v>779</v>
      </c>
      <c r="C178" s="911">
        <v>0.4</v>
      </c>
      <c r="D178" s="907">
        <v>365</v>
      </c>
      <c r="E178" s="912">
        <f t="shared" si="31"/>
        <v>1.46</v>
      </c>
      <c r="F178" s="907">
        <v>153</v>
      </c>
      <c r="G178" s="908">
        <v>54</v>
      </c>
      <c r="H178" s="913">
        <f>'Развитие жив-ва'!$G$71</f>
        <v>80</v>
      </c>
      <c r="I178" s="889">
        <f t="shared" si="32"/>
        <v>116.8</v>
      </c>
      <c r="J178" s="914">
        <f t="shared" si="33"/>
        <v>128.48000000000002</v>
      </c>
    </row>
    <row r="179" spans="1:10" ht="27" thickBot="1">
      <c r="A179" s="909" t="s">
        <v>780</v>
      </c>
      <c r="B179" s="910" t="s">
        <v>781</v>
      </c>
      <c r="C179" s="911">
        <v>0.2</v>
      </c>
      <c r="D179" s="907">
        <v>365</v>
      </c>
      <c r="E179" s="912">
        <f t="shared" si="31"/>
        <v>0.73</v>
      </c>
      <c r="F179" s="907">
        <v>85.4</v>
      </c>
      <c r="G179" s="908">
        <v>14.2</v>
      </c>
      <c r="H179" s="913">
        <f>'Развитие жив-ва'!$G$71</f>
        <v>80</v>
      </c>
      <c r="I179" s="889">
        <f t="shared" si="32"/>
        <v>58.4</v>
      </c>
      <c r="J179" s="914">
        <f t="shared" si="33"/>
        <v>64.240000000000009</v>
      </c>
    </row>
    <row r="180" spans="1:10" ht="15.75" thickBot="1">
      <c r="A180" s="909" t="s">
        <v>782</v>
      </c>
      <c r="B180" s="910" t="s">
        <v>783</v>
      </c>
      <c r="C180" s="911">
        <v>5</v>
      </c>
      <c r="D180" s="907">
        <v>365</v>
      </c>
      <c r="E180" s="912">
        <f t="shared" si="31"/>
        <v>18.25</v>
      </c>
      <c r="F180" s="907">
        <v>548</v>
      </c>
      <c r="G180" s="908">
        <v>29.2</v>
      </c>
      <c r="H180" s="913">
        <f>'Развитие жив-ва'!$G$71</f>
        <v>80</v>
      </c>
      <c r="I180" s="889">
        <f t="shared" si="32"/>
        <v>1460</v>
      </c>
      <c r="J180" s="914">
        <f t="shared" si="33"/>
        <v>1606.0000000000002</v>
      </c>
    </row>
    <row r="181" spans="1:10" ht="15.75" thickBot="1">
      <c r="A181" s="915" t="s">
        <v>784</v>
      </c>
      <c r="B181" s="916" t="s">
        <v>785</v>
      </c>
      <c r="C181" s="917">
        <v>0.5</v>
      </c>
      <c r="D181" s="915">
        <v>365</v>
      </c>
      <c r="E181" s="912">
        <f t="shared" si="31"/>
        <v>1.825</v>
      </c>
      <c r="F181" s="915">
        <v>124</v>
      </c>
      <c r="G181" s="918">
        <v>22.4</v>
      </c>
      <c r="H181" s="913">
        <f>'Развитие жив-ва'!$G$71</f>
        <v>80</v>
      </c>
      <c r="I181" s="889">
        <f t="shared" si="32"/>
        <v>146</v>
      </c>
      <c r="J181" s="914">
        <f t="shared" si="33"/>
        <v>160.60000000000002</v>
      </c>
    </row>
    <row r="182" spans="1:10" ht="15.75" thickBot="1">
      <c r="A182" s="919"/>
      <c r="B182" s="920" t="s">
        <v>764</v>
      </c>
      <c r="C182" s="921"/>
      <c r="D182" s="919"/>
      <c r="E182" s="921"/>
      <c r="F182" s="907">
        <f>SUM(F176:F181)</f>
        <v>1587.4</v>
      </c>
      <c r="G182" s="907">
        <f>SUM(G176:G181)</f>
        <v>194.1</v>
      </c>
      <c r="H182" s="885" t="s">
        <v>754</v>
      </c>
      <c r="I182" s="882" t="s">
        <v>754</v>
      </c>
      <c r="J182" s="883" t="s">
        <v>754</v>
      </c>
    </row>
    <row r="183" spans="1:10" ht="15.75" thickBot="1">
      <c r="A183" s="1378" t="s">
        <v>804</v>
      </c>
      <c r="B183" s="1379"/>
      <c r="C183" s="1379"/>
      <c r="D183" s="1379"/>
      <c r="E183" s="1379"/>
      <c r="F183" s="1379"/>
      <c r="G183" s="1379"/>
      <c r="H183" s="1379"/>
      <c r="I183" s="1379"/>
      <c r="J183" s="1380"/>
    </row>
    <row r="184" spans="1:10" ht="24" thickBot="1">
      <c r="A184" s="887" t="s">
        <v>754</v>
      </c>
      <c r="B184" s="923" t="s">
        <v>755</v>
      </c>
      <c r="C184" s="924" t="s">
        <v>754</v>
      </c>
      <c r="D184" s="901" t="s">
        <v>754</v>
      </c>
      <c r="E184" s="924" t="s">
        <v>754</v>
      </c>
      <c r="F184" s="901" t="s">
        <v>756</v>
      </c>
      <c r="G184" s="902" t="s">
        <v>757</v>
      </c>
      <c r="H184" s="925" t="s">
        <v>754</v>
      </c>
      <c r="I184" s="926" t="s">
        <v>754</v>
      </c>
      <c r="J184" s="901" t="s">
        <v>754</v>
      </c>
    </row>
    <row r="185" spans="1:10" ht="15.75" thickBot="1">
      <c r="A185" s="887">
        <v>1</v>
      </c>
      <c r="B185" s="881" t="s">
        <v>758</v>
      </c>
      <c r="C185" s="882">
        <v>4</v>
      </c>
      <c r="D185" s="883">
        <v>210</v>
      </c>
      <c r="E185" s="882">
        <v>8.4</v>
      </c>
      <c r="F185" s="883">
        <v>389</v>
      </c>
      <c r="G185" s="884">
        <v>43.8</v>
      </c>
      <c r="H185" s="888">
        <f>'Развитие жив-ва'!$G$77</f>
        <v>200</v>
      </c>
      <c r="I185" s="889">
        <f>C185*D185*H185/100</f>
        <v>1680</v>
      </c>
      <c r="J185" s="890">
        <f t="shared" ref="J185:J190" si="34">I185*1.1</f>
        <v>1848.0000000000002</v>
      </c>
    </row>
    <row r="186" spans="1:10" ht="15.75" thickBot="1">
      <c r="A186" s="887">
        <v>2</v>
      </c>
      <c r="B186" s="881" t="s">
        <v>759</v>
      </c>
      <c r="C186" s="882">
        <v>2</v>
      </c>
      <c r="D186" s="883">
        <v>210</v>
      </c>
      <c r="E186" s="882">
        <v>4.2</v>
      </c>
      <c r="F186" s="883">
        <v>92</v>
      </c>
      <c r="G186" s="884">
        <v>4.2</v>
      </c>
      <c r="H186" s="888">
        <f>'Развитие жив-ва'!$G$77</f>
        <v>200</v>
      </c>
      <c r="I186" s="889">
        <f>C186*D186*H186/100</f>
        <v>840</v>
      </c>
      <c r="J186" s="890">
        <f t="shared" si="34"/>
        <v>924.00000000000011</v>
      </c>
    </row>
    <row r="187" spans="1:10" ht="15.75" thickBot="1">
      <c r="A187" s="887">
        <v>3</v>
      </c>
      <c r="B187" s="881" t="s">
        <v>760</v>
      </c>
      <c r="C187" s="882">
        <v>25</v>
      </c>
      <c r="D187" s="883">
        <v>240</v>
      </c>
      <c r="E187" s="882">
        <v>60</v>
      </c>
      <c r="F187" s="883">
        <v>1080</v>
      </c>
      <c r="G187" s="884">
        <v>108</v>
      </c>
      <c r="H187" s="888">
        <f>'Развитие жив-ва'!$G$77</f>
        <v>200</v>
      </c>
      <c r="I187" s="889">
        <f>C187*D187*H187/100</f>
        <v>12000</v>
      </c>
      <c r="J187" s="890">
        <f t="shared" si="34"/>
        <v>13200.000000000002</v>
      </c>
    </row>
    <row r="188" spans="1:10" ht="15.75" thickBot="1">
      <c r="A188" s="887">
        <v>4</v>
      </c>
      <c r="B188" s="881" t="s">
        <v>761</v>
      </c>
      <c r="C188" s="882">
        <v>5</v>
      </c>
      <c r="D188" s="883">
        <v>200</v>
      </c>
      <c r="E188" s="882">
        <v>10</v>
      </c>
      <c r="F188" s="883">
        <v>120</v>
      </c>
      <c r="G188" s="884">
        <v>9</v>
      </c>
      <c r="H188" s="888">
        <f>'Развитие жив-ва'!$G$77</f>
        <v>200</v>
      </c>
      <c r="I188" s="889">
        <f>C188*D188*H188/100</f>
        <v>2000</v>
      </c>
      <c r="J188" s="890">
        <f t="shared" si="34"/>
        <v>2200</v>
      </c>
    </row>
    <row r="189" spans="1:10" ht="15.75" thickBot="1">
      <c r="A189" s="887">
        <v>5</v>
      </c>
      <c r="B189" s="881" t="s">
        <v>762</v>
      </c>
      <c r="C189" s="882">
        <v>40</v>
      </c>
      <c r="D189" s="883">
        <v>155</v>
      </c>
      <c r="E189" s="882">
        <v>62</v>
      </c>
      <c r="F189" s="883">
        <v>1116</v>
      </c>
      <c r="G189" s="884">
        <v>111.6</v>
      </c>
      <c r="H189" s="888">
        <f>'Развитие жив-ва'!$G$77</f>
        <v>200</v>
      </c>
      <c r="I189" s="889">
        <f>C189*D189*H189/100</f>
        <v>12400</v>
      </c>
      <c r="J189" s="890">
        <f t="shared" si="34"/>
        <v>13640.000000000002</v>
      </c>
    </row>
    <row r="190" spans="1:10" ht="35.25" thickBot="1">
      <c r="A190" s="891">
        <v>6</v>
      </c>
      <c r="B190" s="892" t="s">
        <v>763</v>
      </c>
      <c r="C190" s="879" t="s">
        <v>754</v>
      </c>
      <c r="D190" s="893" t="s">
        <v>754</v>
      </c>
      <c r="E190" s="879">
        <v>6</v>
      </c>
      <c r="F190" s="893">
        <v>558</v>
      </c>
      <c r="G190" s="894">
        <v>84</v>
      </c>
      <c r="H190" s="888">
        <f>'Развитие жив-ва'!$G$77</f>
        <v>200</v>
      </c>
      <c r="I190" s="895">
        <f>E190*H190</f>
        <v>1200</v>
      </c>
      <c r="J190" s="896">
        <f t="shared" si="34"/>
        <v>1320</v>
      </c>
    </row>
    <row r="191" spans="1:10" ht="15.75" thickBot="1">
      <c r="A191" s="897"/>
      <c r="B191" s="898" t="s">
        <v>764</v>
      </c>
      <c r="C191" s="899"/>
      <c r="D191" s="900"/>
      <c r="E191" s="899"/>
      <c r="F191" s="901">
        <v>3355</v>
      </c>
      <c r="G191" s="902">
        <v>360.6</v>
      </c>
      <c r="H191" s="885" t="s">
        <v>754</v>
      </c>
      <c r="I191" s="882" t="s">
        <v>754</v>
      </c>
      <c r="J191" s="883" t="s">
        <v>754</v>
      </c>
    </row>
    <row r="192" spans="1:10" ht="15.75" thickBot="1">
      <c r="A192" s="1378" t="s">
        <v>805</v>
      </c>
      <c r="B192" s="1379"/>
      <c r="C192" s="1379"/>
      <c r="D192" s="1379"/>
      <c r="E192" s="1379"/>
      <c r="F192" s="1379"/>
      <c r="G192" s="1379"/>
      <c r="H192" s="1379"/>
      <c r="I192" s="1379"/>
      <c r="J192" s="1380"/>
    </row>
    <row r="193" spans="1:10" ht="15.75" thickBot="1">
      <c r="A193" s="887" t="s">
        <v>754</v>
      </c>
      <c r="B193" s="930" t="s">
        <v>755</v>
      </c>
      <c r="C193" s="901" t="s">
        <v>754</v>
      </c>
      <c r="D193" s="931" t="s">
        <v>754</v>
      </c>
      <c r="E193" s="932" t="s">
        <v>754</v>
      </c>
      <c r="F193" s="933" t="s">
        <v>765</v>
      </c>
      <c r="G193" s="934" t="s">
        <v>766</v>
      </c>
      <c r="H193" s="935" t="s">
        <v>754</v>
      </c>
      <c r="I193" s="935" t="s">
        <v>754</v>
      </c>
      <c r="J193" s="935" t="s">
        <v>754</v>
      </c>
    </row>
    <row r="194" spans="1:10" ht="15.75" thickBot="1">
      <c r="A194" s="887">
        <v>1</v>
      </c>
      <c r="B194" s="936" t="s">
        <v>767</v>
      </c>
      <c r="C194" s="924">
        <v>4</v>
      </c>
      <c r="D194" s="901">
        <v>210</v>
      </c>
      <c r="E194" s="902">
        <v>8.4</v>
      </c>
      <c r="F194" s="901">
        <v>389</v>
      </c>
      <c r="G194" s="902">
        <v>44</v>
      </c>
      <c r="H194" s="925">
        <f>'Развитие жив-ва'!$G$79</f>
        <v>25</v>
      </c>
      <c r="I194" s="889">
        <f t="shared" ref="I194:I199" si="35">C194*D194*H194/100</f>
        <v>210</v>
      </c>
      <c r="J194" s="890">
        <f t="shared" ref="J194:J199" si="36">I194*1.1</f>
        <v>231.00000000000003</v>
      </c>
    </row>
    <row r="195" spans="1:10" ht="15.75" thickBot="1">
      <c r="A195" s="887">
        <v>2</v>
      </c>
      <c r="B195" s="881" t="s">
        <v>768</v>
      </c>
      <c r="C195" s="882">
        <v>10</v>
      </c>
      <c r="D195" s="883">
        <v>210</v>
      </c>
      <c r="E195" s="882">
        <v>21</v>
      </c>
      <c r="F195" s="883">
        <v>630</v>
      </c>
      <c r="G195" s="884">
        <v>53</v>
      </c>
      <c r="H195" s="925">
        <f>'Развитие жив-ва'!$G$79</f>
        <v>25</v>
      </c>
      <c r="I195" s="889">
        <f t="shared" si="35"/>
        <v>525</v>
      </c>
      <c r="J195" s="890">
        <f t="shared" si="36"/>
        <v>577.5</v>
      </c>
    </row>
    <row r="196" spans="1:10" ht="15.75" thickBot="1">
      <c r="A196" s="887">
        <v>3</v>
      </c>
      <c r="B196" s="881" t="s">
        <v>760</v>
      </c>
      <c r="C196" s="882">
        <v>14</v>
      </c>
      <c r="D196" s="883">
        <v>240</v>
      </c>
      <c r="E196" s="882">
        <v>33.6</v>
      </c>
      <c r="F196" s="883">
        <v>672</v>
      </c>
      <c r="G196" s="884">
        <v>47</v>
      </c>
      <c r="H196" s="925">
        <f>'Развитие жив-ва'!$G$79</f>
        <v>25</v>
      </c>
      <c r="I196" s="889">
        <f t="shared" si="35"/>
        <v>840</v>
      </c>
      <c r="J196" s="890">
        <f t="shared" si="36"/>
        <v>924.00000000000011</v>
      </c>
    </row>
    <row r="197" spans="1:10" ht="15.75" thickBot="1">
      <c r="A197" s="887">
        <v>4</v>
      </c>
      <c r="B197" s="881" t="s">
        <v>769</v>
      </c>
      <c r="C197" s="882">
        <v>8</v>
      </c>
      <c r="D197" s="883">
        <v>200</v>
      </c>
      <c r="E197" s="882">
        <v>16</v>
      </c>
      <c r="F197" s="883">
        <v>480</v>
      </c>
      <c r="G197" s="884">
        <v>26</v>
      </c>
      <c r="H197" s="925">
        <f>'Развитие жив-ва'!$G$79</f>
        <v>25</v>
      </c>
      <c r="I197" s="889">
        <f t="shared" si="35"/>
        <v>400</v>
      </c>
      <c r="J197" s="890">
        <f t="shared" si="36"/>
        <v>440.00000000000006</v>
      </c>
    </row>
    <row r="198" spans="1:10" ht="15.75" thickBot="1">
      <c r="A198" s="887">
        <v>5</v>
      </c>
      <c r="B198" s="881" t="s">
        <v>770</v>
      </c>
      <c r="C198" s="882">
        <v>35</v>
      </c>
      <c r="D198" s="883">
        <v>155</v>
      </c>
      <c r="E198" s="882">
        <v>54.25</v>
      </c>
      <c r="F198" s="883">
        <v>922</v>
      </c>
      <c r="G198" s="884">
        <v>136</v>
      </c>
      <c r="H198" s="925">
        <f>'Развитие жив-ва'!$G$79</f>
        <v>25</v>
      </c>
      <c r="I198" s="889">
        <f t="shared" si="35"/>
        <v>1356.25</v>
      </c>
      <c r="J198" s="890">
        <f t="shared" si="36"/>
        <v>1491.8750000000002</v>
      </c>
    </row>
    <row r="199" spans="1:10" ht="15.75" thickBot="1">
      <c r="A199" s="891">
        <v>6</v>
      </c>
      <c r="B199" s="881" t="s">
        <v>771</v>
      </c>
      <c r="C199" s="882">
        <v>5.5</v>
      </c>
      <c r="D199" s="883">
        <v>365</v>
      </c>
      <c r="E199" s="879">
        <v>20.100000000000001</v>
      </c>
      <c r="F199" s="883">
        <v>2429</v>
      </c>
      <c r="G199" s="884">
        <v>163</v>
      </c>
      <c r="H199" s="925">
        <f>'Развитие жив-ва'!$G$79</f>
        <v>25</v>
      </c>
      <c r="I199" s="889">
        <f t="shared" si="35"/>
        <v>501.875</v>
      </c>
      <c r="J199" s="890">
        <f t="shared" si="36"/>
        <v>552.0625</v>
      </c>
    </row>
    <row r="200" spans="1:10" ht="15.75" thickBot="1">
      <c r="A200" s="1381" t="s">
        <v>764</v>
      </c>
      <c r="B200" s="1382"/>
      <c r="C200" s="882" t="s">
        <v>754</v>
      </c>
      <c r="D200" s="883" t="s">
        <v>754</v>
      </c>
      <c r="E200" s="924" t="s">
        <v>754</v>
      </c>
      <c r="F200" s="883">
        <v>5522</v>
      </c>
      <c r="G200" s="884">
        <v>469</v>
      </c>
      <c r="H200" s="885" t="s">
        <v>754</v>
      </c>
      <c r="I200" s="882" t="s">
        <v>754</v>
      </c>
      <c r="J200" s="883" t="s">
        <v>754</v>
      </c>
    </row>
  </sheetData>
  <mergeCells count="80">
    <mergeCell ref="I1:J1"/>
    <mergeCell ref="A2:A5"/>
    <mergeCell ref="B2:B5"/>
    <mergeCell ref="C2:C5"/>
    <mergeCell ref="D2:D5"/>
    <mergeCell ref="E2:E5"/>
    <mergeCell ref="F2:G3"/>
    <mergeCell ref="H2:H5"/>
    <mergeCell ref="I2:I5"/>
    <mergeCell ref="J2:J5"/>
    <mergeCell ref="A54:J54"/>
    <mergeCell ref="F4:F5"/>
    <mergeCell ref="G4:G5"/>
    <mergeCell ref="A16:J16"/>
    <mergeCell ref="A25:J25"/>
    <mergeCell ref="A26:A27"/>
    <mergeCell ref="B26:B27"/>
    <mergeCell ref="C26:C27"/>
    <mergeCell ref="D26:D27"/>
    <mergeCell ref="E26:E27"/>
    <mergeCell ref="H26:H27"/>
    <mergeCell ref="I26:I27"/>
    <mergeCell ref="J26:J27"/>
    <mergeCell ref="A35:J35"/>
    <mergeCell ref="A44:J44"/>
    <mergeCell ref="A52:B52"/>
    <mergeCell ref="A62:B62"/>
    <mergeCell ref="A63:J63"/>
    <mergeCell ref="A64:A65"/>
    <mergeCell ref="B64:B65"/>
    <mergeCell ref="C64:C65"/>
    <mergeCell ref="D64:D65"/>
    <mergeCell ref="E64:E65"/>
    <mergeCell ref="H64:H65"/>
    <mergeCell ref="I64:I65"/>
    <mergeCell ref="J64:J65"/>
    <mergeCell ref="A127:B127"/>
    <mergeCell ref="A73:J73"/>
    <mergeCell ref="A82:J82"/>
    <mergeCell ref="A91:J91"/>
    <mergeCell ref="A99:B99"/>
    <mergeCell ref="A100:J100"/>
    <mergeCell ref="A101:A102"/>
    <mergeCell ref="B101:B102"/>
    <mergeCell ref="C101:C102"/>
    <mergeCell ref="D101:D102"/>
    <mergeCell ref="E101:E102"/>
    <mergeCell ref="H101:H102"/>
    <mergeCell ref="I101:I102"/>
    <mergeCell ref="J101:J102"/>
    <mergeCell ref="A110:J110"/>
    <mergeCell ref="A119:J119"/>
    <mergeCell ref="A128:J128"/>
    <mergeCell ref="A146:J146"/>
    <mergeCell ref="A155:J155"/>
    <mergeCell ref="A164:J164"/>
    <mergeCell ref="A172:B172"/>
    <mergeCell ref="A137:J137"/>
    <mergeCell ref="A145:B145"/>
    <mergeCell ref="A192:J192"/>
    <mergeCell ref="A200:B200"/>
    <mergeCell ref="H174:H175"/>
    <mergeCell ref="A173:J173"/>
    <mergeCell ref="I174:I175"/>
    <mergeCell ref="J174:J175"/>
    <mergeCell ref="A183:J183"/>
    <mergeCell ref="A174:A175"/>
    <mergeCell ref="B174:B175"/>
    <mergeCell ref="C174:C175"/>
    <mergeCell ref="D174:D175"/>
    <mergeCell ref="E174:E175"/>
    <mergeCell ref="A6:J6"/>
    <mergeCell ref="A7:A8"/>
    <mergeCell ref="B7:B8"/>
    <mergeCell ref="C7:C8"/>
    <mergeCell ref="D7:D8"/>
    <mergeCell ref="E7:E8"/>
    <mergeCell ref="H7:H8"/>
    <mergeCell ref="I7:I8"/>
    <mergeCell ref="J7:J8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J198"/>
  <sheetViews>
    <sheetView workbookViewId="0">
      <selection activeCell="O13" sqref="O13"/>
    </sheetView>
  </sheetViews>
  <sheetFormatPr defaultRowHeight="15"/>
  <cols>
    <col min="1" max="1" width="9.140625" style="847"/>
    <col min="2" max="2" width="31.28515625" style="847" customWidth="1"/>
    <col min="3" max="16384" width="9.140625" style="847"/>
  </cols>
  <sheetData>
    <row r="1" spans="1:8" ht="29.25" customHeight="1">
      <c r="A1" s="1444" t="s">
        <v>807</v>
      </c>
      <c r="B1" s="1444" t="s">
        <v>808</v>
      </c>
      <c r="C1" s="1446" t="s">
        <v>809</v>
      </c>
      <c r="D1" s="1418"/>
      <c r="E1" s="1447" t="s">
        <v>810</v>
      </c>
      <c r="F1" s="1418"/>
      <c r="G1" s="1448" t="s">
        <v>811</v>
      </c>
      <c r="H1" s="1449"/>
    </row>
    <row r="2" spans="1:8" ht="31.5" thickBot="1">
      <c r="A2" s="1445"/>
      <c r="B2" s="1445"/>
      <c r="C2" s="861" t="s">
        <v>812</v>
      </c>
      <c r="D2" s="929" t="s">
        <v>813</v>
      </c>
      <c r="E2" s="861" t="s">
        <v>812</v>
      </c>
      <c r="F2" s="929" t="s">
        <v>813</v>
      </c>
      <c r="G2" s="861" t="s">
        <v>812</v>
      </c>
      <c r="H2" s="929" t="s">
        <v>813</v>
      </c>
    </row>
    <row r="3" spans="1:8" ht="15.75" thickBot="1">
      <c r="A3" s="1391" t="s">
        <v>862</v>
      </c>
      <c r="B3" s="1440"/>
      <c r="C3" s="1440"/>
      <c r="D3" s="1440"/>
      <c r="E3" s="1440"/>
      <c r="F3" s="1440"/>
      <c r="G3" s="1440"/>
      <c r="H3" s="1440"/>
    </row>
    <row r="4" spans="1:8" ht="17.25" thickBot="1">
      <c r="A4" s="966" t="s">
        <v>774</v>
      </c>
      <c r="B4" s="967" t="s">
        <v>775</v>
      </c>
      <c r="C4" s="968">
        <f>'Расчет кормов 1оч'!J9</f>
        <v>752812.50000000012</v>
      </c>
      <c r="D4" s="969">
        <f>'Расет кормов расчср'!J9</f>
        <v>752812.50000000012</v>
      </c>
      <c r="E4" s="970">
        <v>16</v>
      </c>
      <c r="F4" s="970">
        <v>16</v>
      </c>
      <c r="G4" s="969">
        <f>C4/E4</f>
        <v>47050.781250000007</v>
      </c>
      <c r="H4" s="969">
        <f>D4/F4</f>
        <v>47050.781250000007</v>
      </c>
    </row>
    <row r="5" spans="1:8" ht="17.25" thickBot="1">
      <c r="A5" s="971" t="s">
        <v>776</v>
      </c>
      <c r="B5" s="972" t="s">
        <v>777</v>
      </c>
      <c r="C5" s="968">
        <f>'Расчет кормов 1оч'!J10</f>
        <v>250937.50000000003</v>
      </c>
      <c r="D5" s="969">
        <f>'Расет кормов расчср'!J10</f>
        <v>250937.50000000003</v>
      </c>
      <c r="E5" s="973"/>
      <c r="F5" s="973"/>
      <c r="G5" s="969" t="s">
        <v>754</v>
      </c>
      <c r="H5" s="969" t="s">
        <v>754</v>
      </c>
    </row>
    <row r="6" spans="1:8" ht="17.25" thickBot="1">
      <c r="A6" s="971" t="s">
        <v>778</v>
      </c>
      <c r="B6" s="972" t="s">
        <v>824</v>
      </c>
      <c r="C6" s="968">
        <f>'Расчет кормов 1оч'!J11</f>
        <v>200750.00000000003</v>
      </c>
      <c r="D6" s="969">
        <f>'Расет кормов расчср'!J11</f>
        <v>200750.00000000003</v>
      </c>
      <c r="E6" s="973"/>
      <c r="F6" s="973"/>
      <c r="G6" s="969" t="s">
        <v>754</v>
      </c>
      <c r="H6" s="969" t="s">
        <v>754</v>
      </c>
    </row>
    <row r="7" spans="1:8" ht="17.25" thickBot="1">
      <c r="A7" s="971" t="s">
        <v>780</v>
      </c>
      <c r="B7" s="972" t="s">
        <v>825</v>
      </c>
      <c r="C7" s="968">
        <f>'Расчет кормов 1оч'!J12</f>
        <v>100375.00000000001</v>
      </c>
      <c r="D7" s="969">
        <f>'Расет кормов расчср'!J12</f>
        <v>100375.00000000001</v>
      </c>
      <c r="E7" s="965">
        <v>13</v>
      </c>
      <c r="F7" s="965">
        <v>13</v>
      </c>
      <c r="G7" s="969">
        <f t="shared" ref="G7:G9" si="0">C7/E7</f>
        <v>7721.1538461538476</v>
      </c>
      <c r="H7" s="969">
        <f t="shared" ref="H7:H9" si="1">D7/F7</f>
        <v>7721.1538461538476</v>
      </c>
    </row>
    <row r="8" spans="1:8" ht="17.25" thickBot="1">
      <c r="A8" s="971" t="s">
        <v>782</v>
      </c>
      <c r="B8" s="972" t="s">
        <v>769</v>
      </c>
      <c r="C8" s="968">
        <f>'Расчет кормов 1оч'!J13</f>
        <v>2509375</v>
      </c>
      <c r="D8" s="969">
        <f>'Расет кормов расчср'!J13</f>
        <v>2509375</v>
      </c>
      <c r="E8" s="965">
        <v>250</v>
      </c>
      <c r="F8" s="965">
        <v>250</v>
      </c>
      <c r="G8" s="969">
        <f t="shared" si="0"/>
        <v>10037.5</v>
      </c>
      <c r="H8" s="969">
        <f t="shared" si="1"/>
        <v>10037.5</v>
      </c>
    </row>
    <row r="9" spans="1:8" ht="17.25" thickBot="1">
      <c r="A9" s="971" t="s">
        <v>784</v>
      </c>
      <c r="B9" s="972" t="s">
        <v>826</v>
      </c>
      <c r="C9" s="968">
        <f>'Расчет кормов 1оч'!J14</f>
        <v>250937.50000000003</v>
      </c>
      <c r="D9" s="969">
        <f>'Расет кормов расчср'!J14</f>
        <v>250937.50000000003</v>
      </c>
      <c r="E9" s="965">
        <v>95</v>
      </c>
      <c r="F9" s="965">
        <v>95</v>
      </c>
      <c r="G9" s="969">
        <f t="shared" si="0"/>
        <v>2641.4473684210529</v>
      </c>
      <c r="H9" s="969">
        <f t="shared" si="1"/>
        <v>2641.4473684210529</v>
      </c>
    </row>
    <row r="10" spans="1:8" ht="17.25" thickBot="1">
      <c r="A10" s="961"/>
      <c r="B10" s="962" t="s">
        <v>823</v>
      </c>
      <c r="C10" s="963" t="s">
        <v>754</v>
      </c>
      <c r="D10" s="964" t="s">
        <v>754</v>
      </c>
      <c r="E10" s="965" t="s">
        <v>754</v>
      </c>
      <c r="F10" s="965" t="s">
        <v>754</v>
      </c>
      <c r="G10" s="964">
        <f>G4+G7+G8+G9</f>
        <v>67450.882464574912</v>
      </c>
      <c r="H10" s="964">
        <f>H4+H7+H8+H9</f>
        <v>67450.882464574912</v>
      </c>
    </row>
    <row r="11" spans="1:8" ht="15.75" thickBot="1">
      <c r="A11" s="1441" t="s">
        <v>786</v>
      </c>
      <c r="B11" s="1442"/>
      <c r="C11" s="1442"/>
      <c r="D11" s="1442"/>
      <c r="E11" s="1442"/>
      <c r="F11" s="1442"/>
      <c r="G11" s="1442"/>
      <c r="H11" s="1443"/>
    </row>
    <row r="12" spans="1:8" ht="17.25" thickBot="1">
      <c r="A12" s="945" t="s">
        <v>774</v>
      </c>
      <c r="B12" s="946" t="s">
        <v>814</v>
      </c>
      <c r="C12" s="947">
        <f>'Расчет кормов 1оч'!J18*0.75</f>
        <v>1732.5</v>
      </c>
      <c r="D12" s="948">
        <f>'Расет кормов расчср'!J18*0.75</f>
        <v>2772.0000000000005</v>
      </c>
      <c r="E12" s="949">
        <v>10</v>
      </c>
      <c r="F12" s="949">
        <v>10</v>
      </c>
      <c r="G12" s="949" t="s">
        <v>754</v>
      </c>
      <c r="H12" s="950" t="s">
        <v>754</v>
      </c>
    </row>
    <row r="13" spans="1:8" ht="17.25" thickBot="1">
      <c r="A13" s="951" t="s">
        <v>815</v>
      </c>
      <c r="B13" s="952" t="s">
        <v>816</v>
      </c>
      <c r="C13" s="953">
        <f>'Расчет кормов 1оч'!J18*0.25</f>
        <v>577.5</v>
      </c>
      <c r="D13" s="954">
        <f>'Расет кормов расчср'!J18*0.25</f>
        <v>924.00000000000011</v>
      </c>
      <c r="E13" s="667">
        <v>28</v>
      </c>
      <c r="F13" s="667">
        <v>31</v>
      </c>
      <c r="G13" s="954">
        <f>C13/E13</f>
        <v>20.625</v>
      </c>
      <c r="H13" s="955">
        <f>D13/F13</f>
        <v>29.806451612903228</v>
      </c>
    </row>
    <row r="14" spans="1:8" ht="17.25" thickBot="1">
      <c r="A14" s="951" t="s">
        <v>776</v>
      </c>
      <c r="B14" s="952" t="s">
        <v>817</v>
      </c>
      <c r="C14" s="956">
        <f>'Расчет кормов 1оч'!J19</f>
        <v>1155</v>
      </c>
      <c r="D14" s="954">
        <f>'Расет кормов расчср'!J19</f>
        <v>1848.0000000000002</v>
      </c>
      <c r="E14" s="667" t="s">
        <v>754</v>
      </c>
      <c r="F14" s="667" t="s">
        <v>754</v>
      </c>
      <c r="G14" s="954" t="s">
        <v>754</v>
      </c>
      <c r="H14" s="955" t="s">
        <v>754</v>
      </c>
    </row>
    <row r="15" spans="1:8" ht="17.25" thickBot="1">
      <c r="A15" s="951" t="s">
        <v>778</v>
      </c>
      <c r="B15" s="952" t="s">
        <v>818</v>
      </c>
      <c r="C15" s="956">
        <f>'Расчет кормов 1оч'!J20</f>
        <v>16500</v>
      </c>
      <c r="D15" s="954">
        <f>'Расет кормов расчср'!J20</f>
        <v>26400.000000000004</v>
      </c>
      <c r="E15" s="667">
        <v>250</v>
      </c>
      <c r="F15" s="667">
        <v>280</v>
      </c>
      <c r="G15" s="954">
        <f>C15/E15</f>
        <v>66</v>
      </c>
      <c r="H15" s="955">
        <f>D15/F15</f>
        <v>94.285714285714292</v>
      </c>
    </row>
    <row r="16" spans="1:8" ht="17.25" thickBot="1">
      <c r="A16" s="951" t="s">
        <v>780</v>
      </c>
      <c r="B16" s="952" t="s">
        <v>819</v>
      </c>
      <c r="C16" s="956">
        <f>'Расчет кормов 1оч'!J21</f>
        <v>2750</v>
      </c>
      <c r="D16" s="954">
        <f>'Расет кормов расчср'!J21</f>
        <v>4400</v>
      </c>
      <c r="E16" s="667">
        <v>280</v>
      </c>
      <c r="F16" s="667">
        <v>310</v>
      </c>
      <c r="G16" s="954">
        <f>C16/E16</f>
        <v>9.8214285714285712</v>
      </c>
      <c r="H16" s="955">
        <f>D16/F16</f>
        <v>14.193548387096774</v>
      </c>
    </row>
    <row r="17" spans="1:10" ht="17.25" thickBot="1">
      <c r="A17" s="951" t="s">
        <v>782</v>
      </c>
      <c r="B17" s="952" t="s">
        <v>820</v>
      </c>
      <c r="C17" s="956">
        <f>'Расчет кормов 1оч'!J22*0.75</f>
        <v>12787.5</v>
      </c>
      <c r="D17" s="954">
        <f>'Расет кормов расчср'!J22*0.75</f>
        <v>20460.000000000004</v>
      </c>
      <c r="E17" s="667">
        <v>50</v>
      </c>
      <c r="F17" s="667">
        <v>55</v>
      </c>
      <c r="G17" s="954" t="s">
        <v>754</v>
      </c>
      <c r="H17" s="955" t="s">
        <v>754</v>
      </c>
    </row>
    <row r="18" spans="1:10" ht="17.25" thickBot="1">
      <c r="A18" s="951" t="s">
        <v>821</v>
      </c>
      <c r="B18" s="952" t="s">
        <v>822</v>
      </c>
      <c r="C18" s="956">
        <f>'Расчет кормов 1оч'!J22*0.25</f>
        <v>4262.5</v>
      </c>
      <c r="D18" s="954">
        <f>'Расет кормов расчср'!J22*0.25</f>
        <v>6820.0000000000009</v>
      </c>
      <c r="E18" s="667">
        <v>120</v>
      </c>
      <c r="F18" s="667">
        <v>125</v>
      </c>
      <c r="G18" s="954">
        <f>C18/E18</f>
        <v>35.520833333333336</v>
      </c>
      <c r="H18" s="955">
        <f>D18/F18</f>
        <v>54.560000000000009</v>
      </c>
    </row>
    <row r="19" spans="1:10" ht="17.25" thickBot="1">
      <c r="A19" s="951" t="s">
        <v>784</v>
      </c>
      <c r="B19" s="952" t="s">
        <v>771</v>
      </c>
      <c r="C19" s="957">
        <f>'Расчет кормов 1оч'!J23</f>
        <v>1650.0000000000002</v>
      </c>
      <c r="D19" s="958">
        <f>'Расет кормов расчср'!J23</f>
        <v>2640</v>
      </c>
      <c r="E19" s="959" t="s">
        <v>754</v>
      </c>
      <c r="F19" s="959" t="s">
        <v>754</v>
      </c>
      <c r="G19" s="958" t="s">
        <v>754</v>
      </c>
      <c r="H19" s="960" t="s">
        <v>754</v>
      </c>
    </row>
    <row r="20" spans="1:10" ht="17.25" thickBot="1">
      <c r="A20" s="961"/>
      <c r="B20" s="962" t="s">
        <v>823</v>
      </c>
      <c r="C20" s="963" t="s">
        <v>754</v>
      </c>
      <c r="D20" s="964" t="s">
        <v>754</v>
      </c>
      <c r="E20" s="965" t="s">
        <v>754</v>
      </c>
      <c r="F20" s="965" t="s">
        <v>754</v>
      </c>
      <c r="G20" s="964">
        <f>G13+G15+G16+G18</f>
        <v>131.9672619047619</v>
      </c>
      <c r="H20" s="964">
        <f>H13+H15+H16+H18</f>
        <v>192.84571428571431</v>
      </c>
    </row>
    <row r="21" spans="1:10" ht="15.75" thickBot="1">
      <c r="A21" s="1391" t="s">
        <v>788</v>
      </c>
      <c r="B21" s="1440"/>
      <c r="C21" s="1440"/>
      <c r="D21" s="1440"/>
      <c r="E21" s="1440"/>
      <c r="F21" s="1440"/>
      <c r="G21" s="1440"/>
      <c r="H21" s="1440"/>
      <c r="I21" s="944"/>
      <c r="J21" s="944"/>
    </row>
    <row r="22" spans="1:10" ht="17.25" thickBot="1">
      <c r="A22" s="966" t="s">
        <v>774</v>
      </c>
      <c r="B22" s="967" t="s">
        <v>775</v>
      </c>
      <c r="C22" s="968">
        <f>'Расчет кормов 1оч'!J28</f>
        <v>1204.5</v>
      </c>
      <c r="D22" s="969">
        <f>'Расет кормов расчср'!J28</f>
        <v>3011.2500000000005</v>
      </c>
      <c r="E22" s="970">
        <v>16</v>
      </c>
      <c r="F22" s="970">
        <v>16</v>
      </c>
      <c r="G22" s="969">
        <f>C22/E22</f>
        <v>75.28125</v>
      </c>
      <c r="H22" s="969">
        <f>D22/F22</f>
        <v>188.20312500000003</v>
      </c>
    </row>
    <row r="23" spans="1:10" ht="17.25" thickBot="1">
      <c r="A23" s="971" t="s">
        <v>776</v>
      </c>
      <c r="B23" s="972" t="s">
        <v>777</v>
      </c>
      <c r="C23" s="968">
        <f>'Расчет кормов 1оч'!J29</f>
        <v>401.50000000000006</v>
      </c>
      <c r="D23" s="969">
        <f>'Расет кормов расчср'!J29</f>
        <v>1003.7500000000001</v>
      </c>
      <c r="E23" s="973"/>
      <c r="F23" s="973"/>
      <c r="G23" s="969" t="s">
        <v>754</v>
      </c>
      <c r="H23" s="969" t="s">
        <v>754</v>
      </c>
    </row>
    <row r="24" spans="1:10" ht="17.25" thickBot="1">
      <c r="A24" s="971" t="s">
        <v>778</v>
      </c>
      <c r="B24" s="972" t="s">
        <v>824</v>
      </c>
      <c r="C24" s="968">
        <f>'Расчет кормов 1оч'!J30</f>
        <v>321.20000000000005</v>
      </c>
      <c r="D24" s="969">
        <f>'Расет кормов расчср'!J30</f>
        <v>803.00000000000011</v>
      </c>
      <c r="E24" s="973"/>
      <c r="F24" s="973"/>
      <c r="G24" s="969" t="s">
        <v>754</v>
      </c>
      <c r="H24" s="969" t="s">
        <v>754</v>
      </c>
    </row>
    <row r="25" spans="1:10" ht="17.25" thickBot="1">
      <c r="A25" s="971" t="s">
        <v>780</v>
      </c>
      <c r="B25" s="972" t="s">
        <v>825</v>
      </c>
      <c r="C25" s="968">
        <f>'Расчет кормов 1оч'!J31</f>
        <v>160.60000000000002</v>
      </c>
      <c r="D25" s="969">
        <f>'Расет кормов расчср'!J31</f>
        <v>401.50000000000006</v>
      </c>
      <c r="E25" s="965">
        <v>13</v>
      </c>
      <c r="F25" s="965">
        <v>13</v>
      </c>
      <c r="G25" s="969">
        <f t="shared" ref="G25:H27" si="2">C25/E25</f>
        <v>12.353846153846156</v>
      </c>
      <c r="H25" s="969">
        <f t="shared" si="2"/>
        <v>30.88461538461539</v>
      </c>
    </row>
    <row r="26" spans="1:10" ht="17.25" thickBot="1">
      <c r="A26" s="971" t="s">
        <v>782</v>
      </c>
      <c r="B26" s="972" t="s">
        <v>769</v>
      </c>
      <c r="C26" s="968">
        <f>'Расчет кормов 1оч'!J32</f>
        <v>4015.0000000000005</v>
      </c>
      <c r="D26" s="969">
        <f>'Расет кормов расчср'!J32</f>
        <v>10037.5</v>
      </c>
      <c r="E26" s="965">
        <v>250</v>
      </c>
      <c r="F26" s="965">
        <v>250</v>
      </c>
      <c r="G26" s="969">
        <f t="shared" si="2"/>
        <v>16.060000000000002</v>
      </c>
      <c r="H26" s="969">
        <f t="shared" si="2"/>
        <v>40.15</v>
      </c>
    </row>
    <row r="27" spans="1:10" ht="17.25" thickBot="1">
      <c r="A27" s="971" t="s">
        <v>784</v>
      </c>
      <c r="B27" s="972" t="s">
        <v>826</v>
      </c>
      <c r="C27" s="968">
        <f>'Расчет кормов 1оч'!J33</f>
        <v>401.50000000000006</v>
      </c>
      <c r="D27" s="969">
        <f>'Расет кормов расчср'!J33</f>
        <v>1003.7500000000001</v>
      </c>
      <c r="E27" s="965">
        <v>95</v>
      </c>
      <c r="F27" s="965">
        <v>95</v>
      </c>
      <c r="G27" s="969">
        <f t="shared" si="2"/>
        <v>4.2263157894736851</v>
      </c>
      <c r="H27" s="969">
        <f t="shared" si="2"/>
        <v>10.565789473684212</v>
      </c>
    </row>
    <row r="28" spans="1:10" ht="17.25" thickBot="1">
      <c r="A28" s="961"/>
      <c r="B28" s="962" t="s">
        <v>823</v>
      </c>
      <c r="C28" s="963" t="s">
        <v>754</v>
      </c>
      <c r="D28" s="964" t="s">
        <v>754</v>
      </c>
      <c r="E28" s="965" t="s">
        <v>754</v>
      </c>
      <c r="F28" s="965" t="s">
        <v>754</v>
      </c>
      <c r="G28" s="964">
        <f>G22+G25+G26+G27</f>
        <v>107.92141194331984</v>
      </c>
      <c r="H28" s="964">
        <f>H22+H25+H26+H27</f>
        <v>269.80352985829961</v>
      </c>
    </row>
    <row r="29" spans="1:10" ht="15.75" thickBot="1">
      <c r="A29" s="1439" t="s">
        <v>789</v>
      </c>
      <c r="B29" s="1439"/>
      <c r="C29" s="1439"/>
      <c r="D29" s="1439"/>
      <c r="E29" s="1439"/>
      <c r="F29" s="1439"/>
      <c r="G29" s="1439"/>
      <c r="H29" s="1439"/>
    </row>
    <row r="30" spans="1:10" ht="17.25" thickBot="1">
      <c r="A30" s="945" t="s">
        <v>774</v>
      </c>
      <c r="B30" s="946" t="s">
        <v>814</v>
      </c>
      <c r="C30" s="947">
        <f>'Расчет кормов 1оч'!J37*0.75</f>
        <v>970.2</v>
      </c>
      <c r="D30" s="948">
        <f>'Расет кормов расчср'!J37*0.75</f>
        <v>1108.8000000000002</v>
      </c>
      <c r="E30" s="949">
        <v>10</v>
      </c>
      <c r="F30" s="949">
        <v>10</v>
      </c>
      <c r="G30" s="949" t="s">
        <v>754</v>
      </c>
      <c r="H30" s="950" t="s">
        <v>754</v>
      </c>
    </row>
    <row r="31" spans="1:10" ht="17.25" thickBot="1">
      <c r="A31" s="951" t="s">
        <v>815</v>
      </c>
      <c r="B31" s="952" t="s">
        <v>816</v>
      </c>
      <c r="C31" s="953">
        <f>'Расчет кормов 1оч'!J37*0.25</f>
        <v>323.40000000000003</v>
      </c>
      <c r="D31" s="954">
        <f>'Расет кормов расчср'!J37*0.25</f>
        <v>369.6</v>
      </c>
      <c r="E31" s="667">
        <v>28</v>
      </c>
      <c r="F31" s="667">
        <v>31</v>
      </c>
      <c r="G31" s="954">
        <f>C31/E31</f>
        <v>11.55</v>
      </c>
      <c r="H31" s="955">
        <f>D31/F31</f>
        <v>11.922580645161291</v>
      </c>
    </row>
    <row r="32" spans="1:10" ht="17.25" thickBot="1">
      <c r="A32" s="951" t="s">
        <v>776</v>
      </c>
      <c r="B32" s="952" t="s">
        <v>817</v>
      </c>
      <c r="C32" s="956">
        <f>'Расчет кормов 1оч'!J38</f>
        <v>646.80000000000007</v>
      </c>
      <c r="D32" s="954">
        <f>'Расет кормов расчср'!J38</f>
        <v>739.2</v>
      </c>
      <c r="E32" s="667" t="s">
        <v>754</v>
      </c>
      <c r="F32" s="667" t="s">
        <v>754</v>
      </c>
      <c r="G32" s="954" t="s">
        <v>754</v>
      </c>
      <c r="H32" s="955" t="s">
        <v>754</v>
      </c>
    </row>
    <row r="33" spans="1:8" ht="17.25" thickBot="1">
      <c r="A33" s="951" t="s">
        <v>778</v>
      </c>
      <c r="B33" s="952" t="s">
        <v>818</v>
      </c>
      <c r="C33" s="956">
        <f>'Расчет кормов 1оч'!J39</f>
        <v>9240</v>
      </c>
      <c r="D33" s="954">
        <f>'Расет кормов расчср'!J39</f>
        <v>10560</v>
      </c>
      <c r="E33" s="667">
        <v>250</v>
      </c>
      <c r="F33" s="667">
        <v>280</v>
      </c>
      <c r="G33" s="954">
        <f>C33/E33</f>
        <v>36.96</v>
      </c>
      <c r="H33" s="955">
        <f>D33/F33</f>
        <v>37.714285714285715</v>
      </c>
    </row>
    <row r="34" spans="1:8" ht="17.25" thickBot="1">
      <c r="A34" s="951" t="s">
        <v>780</v>
      </c>
      <c r="B34" s="952" t="s">
        <v>819</v>
      </c>
      <c r="C34" s="956">
        <f>'Расчет кормов 1оч'!J40</f>
        <v>1540.0000000000002</v>
      </c>
      <c r="D34" s="954">
        <f>'Расет кормов расчср'!J40</f>
        <v>1760.0000000000002</v>
      </c>
      <c r="E34" s="667">
        <v>280</v>
      </c>
      <c r="F34" s="667">
        <v>310</v>
      </c>
      <c r="G34" s="954">
        <f>C34/E34</f>
        <v>5.5000000000000009</v>
      </c>
      <c r="H34" s="955">
        <f>D34/F34</f>
        <v>5.6774193548387109</v>
      </c>
    </row>
    <row r="35" spans="1:8" ht="17.25" thickBot="1">
      <c r="A35" s="951" t="s">
        <v>782</v>
      </c>
      <c r="B35" s="952" t="s">
        <v>820</v>
      </c>
      <c r="C35" s="956">
        <f>'Расчет кормов 1оч'!J41*0.75</f>
        <v>7161</v>
      </c>
      <c r="D35" s="954">
        <f>'Расет кормов расчср'!J41*0.75</f>
        <v>8184</v>
      </c>
      <c r="E35" s="667">
        <v>50</v>
      </c>
      <c r="F35" s="667">
        <v>55</v>
      </c>
      <c r="G35" s="954" t="s">
        <v>754</v>
      </c>
      <c r="H35" s="955" t="s">
        <v>754</v>
      </c>
    </row>
    <row r="36" spans="1:8" ht="17.25" thickBot="1">
      <c r="A36" s="951" t="s">
        <v>821</v>
      </c>
      <c r="B36" s="952" t="s">
        <v>822</v>
      </c>
      <c r="C36" s="956">
        <f>'Расчет кормов 1оч'!J41*0.25</f>
        <v>2387</v>
      </c>
      <c r="D36" s="954">
        <f>'Расет кормов расчср'!J41*0.25</f>
        <v>2728</v>
      </c>
      <c r="E36" s="667">
        <v>120</v>
      </c>
      <c r="F36" s="667">
        <v>125</v>
      </c>
      <c r="G36" s="954">
        <f>C36/E36</f>
        <v>19.891666666666666</v>
      </c>
      <c r="H36" s="955">
        <f>D36/F36</f>
        <v>21.824000000000002</v>
      </c>
    </row>
    <row r="37" spans="1:8" ht="17.25" thickBot="1">
      <c r="A37" s="951" t="s">
        <v>784</v>
      </c>
      <c r="B37" s="952" t="s">
        <v>771</v>
      </c>
      <c r="C37" s="957">
        <f>'Расчет кормов 1оч'!J42</f>
        <v>924.00000000000011</v>
      </c>
      <c r="D37" s="958">
        <f>'Расет кормов расчср'!J42</f>
        <v>1056</v>
      </c>
      <c r="E37" s="959" t="s">
        <v>754</v>
      </c>
      <c r="F37" s="959" t="s">
        <v>754</v>
      </c>
      <c r="G37" s="958" t="s">
        <v>754</v>
      </c>
      <c r="H37" s="960" t="s">
        <v>754</v>
      </c>
    </row>
    <row r="38" spans="1:8" ht="17.25" thickBot="1">
      <c r="A38" s="961"/>
      <c r="B38" s="962" t="s">
        <v>823</v>
      </c>
      <c r="C38" s="963" t="s">
        <v>754</v>
      </c>
      <c r="D38" s="964" t="s">
        <v>754</v>
      </c>
      <c r="E38" s="965" t="s">
        <v>754</v>
      </c>
      <c r="F38" s="965" t="s">
        <v>754</v>
      </c>
      <c r="G38" s="964">
        <f>G31+G33+G34+G36</f>
        <v>73.901666666666671</v>
      </c>
      <c r="H38" s="964">
        <f>H31+H33+H34+H36</f>
        <v>77.138285714285715</v>
      </c>
    </row>
    <row r="39" spans="1:8" ht="15.75" thickBot="1">
      <c r="A39" s="1439" t="s">
        <v>790</v>
      </c>
      <c r="B39" s="1439"/>
      <c r="C39" s="1439"/>
      <c r="D39" s="1439"/>
      <c r="E39" s="1439"/>
      <c r="F39" s="1439"/>
      <c r="G39" s="1439"/>
      <c r="H39" s="1439"/>
    </row>
    <row r="40" spans="1:8" ht="17.25" thickBot="1">
      <c r="A40" s="945" t="s">
        <v>774</v>
      </c>
      <c r="B40" s="946" t="s">
        <v>814</v>
      </c>
      <c r="C40" s="947">
        <f>'Расчет кормов 1оч'!J46*0.75</f>
        <v>485.1</v>
      </c>
      <c r="D40" s="948">
        <f>'Расет кормов расчср'!J46*0.75</f>
        <v>693.00000000000011</v>
      </c>
      <c r="E40" s="949">
        <v>10</v>
      </c>
      <c r="F40" s="949">
        <v>10</v>
      </c>
      <c r="G40" s="949" t="s">
        <v>754</v>
      </c>
      <c r="H40" s="950" t="s">
        <v>754</v>
      </c>
    </row>
    <row r="41" spans="1:8" ht="17.25" thickBot="1">
      <c r="A41" s="951" t="s">
        <v>815</v>
      </c>
      <c r="B41" s="952" t="s">
        <v>816</v>
      </c>
      <c r="C41" s="953">
        <f>'Расчет кормов 1оч'!J46*0.25</f>
        <v>161.70000000000002</v>
      </c>
      <c r="D41" s="954">
        <f>'Расет кормов расчср'!J46*0.25</f>
        <v>231.00000000000003</v>
      </c>
      <c r="E41" s="667">
        <v>28</v>
      </c>
      <c r="F41" s="667">
        <v>31</v>
      </c>
      <c r="G41" s="954">
        <f>C41/E41</f>
        <v>5.7750000000000004</v>
      </c>
      <c r="H41" s="955">
        <f>D41/F41</f>
        <v>7.4516129032258069</v>
      </c>
    </row>
    <row r="42" spans="1:8" ht="17.25" thickBot="1">
      <c r="A42" s="951" t="s">
        <v>776</v>
      </c>
      <c r="B42" s="952" t="s">
        <v>817</v>
      </c>
      <c r="C42" s="956">
        <f>'Расчет кормов 1оч'!J47</f>
        <v>323.40000000000003</v>
      </c>
      <c r="D42" s="954">
        <f>'Расет кормов расчср'!J47</f>
        <v>462.00000000000006</v>
      </c>
      <c r="E42" s="667" t="s">
        <v>754</v>
      </c>
      <c r="F42" s="667" t="s">
        <v>754</v>
      </c>
      <c r="G42" s="954" t="s">
        <v>754</v>
      </c>
      <c r="H42" s="955" t="s">
        <v>754</v>
      </c>
    </row>
    <row r="43" spans="1:8" ht="17.25" thickBot="1">
      <c r="A43" s="951" t="s">
        <v>778</v>
      </c>
      <c r="B43" s="952" t="s">
        <v>818</v>
      </c>
      <c r="C43" s="956">
        <f>'Расчет кормов 1оч'!J48</f>
        <v>4620</v>
      </c>
      <c r="D43" s="954">
        <f>'Расет кормов расчср'!J48</f>
        <v>6600.0000000000009</v>
      </c>
      <c r="E43" s="667">
        <v>250</v>
      </c>
      <c r="F43" s="667">
        <v>280</v>
      </c>
      <c r="G43" s="954">
        <f>C43/E43</f>
        <v>18.48</v>
      </c>
      <c r="H43" s="955">
        <f>D43/F43</f>
        <v>23.571428571428573</v>
      </c>
    </row>
    <row r="44" spans="1:8" ht="17.25" thickBot="1">
      <c r="A44" s="951" t="s">
        <v>780</v>
      </c>
      <c r="B44" s="952" t="s">
        <v>819</v>
      </c>
      <c r="C44" s="956">
        <f>'Расчет кормов 1оч'!J49</f>
        <v>770.00000000000011</v>
      </c>
      <c r="D44" s="954">
        <f>'Расет кормов расчср'!J49</f>
        <v>1100</v>
      </c>
      <c r="E44" s="667">
        <v>280</v>
      </c>
      <c r="F44" s="667">
        <v>310</v>
      </c>
      <c r="G44" s="954">
        <f>C44/E44</f>
        <v>2.7500000000000004</v>
      </c>
      <c r="H44" s="955">
        <f>D44/F44</f>
        <v>3.5483870967741935</v>
      </c>
    </row>
    <row r="45" spans="1:8" ht="17.25" thickBot="1">
      <c r="A45" s="951" t="s">
        <v>782</v>
      </c>
      <c r="B45" s="952" t="s">
        <v>820</v>
      </c>
      <c r="C45" s="956">
        <f>'Расчет кормов 1оч'!J50*0.75</f>
        <v>3580.5</v>
      </c>
      <c r="D45" s="954">
        <f>'Расет кормов расчср'!J50*0.75</f>
        <v>5115.0000000000009</v>
      </c>
      <c r="E45" s="667">
        <v>50</v>
      </c>
      <c r="F45" s="667">
        <v>55</v>
      </c>
      <c r="G45" s="974" t="s">
        <v>754</v>
      </c>
      <c r="H45" s="955" t="s">
        <v>754</v>
      </c>
    </row>
    <row r="46" spans="1:8" ht="17.25" thickBot="1">
      <c r="A46" s="951" t="s">
        <v>821</v>
      </c>
      <c r="B46" s="952" t="s">
        <v>822</v>
      </c>
      <c r="C46" s="956">
        <f>'Расчет кормов 1оч'!J50*0.25</f>
        <v>1193.5</v>
      </c>
      <c r="D46" s="954">
        <f>'Расет кормов расчср'!J50*0.25</f>
        <v>1705.0000000000002</v>
      </c>
      <c r="E46" s="667">
        <v>120</v>
      </c>
      <c r="F46" s="667">
        <v>125</v>
      </c>
      <c r="G46" s="954">
        <f>C46/E46</f>
        <v>9.9458333333333329</v>
      </c>
      <c r="H46" s="955">
        <f>D46/F46</f>
        <v>13.640000000000002</v>
      </c>
    </row>
    <row r="47" spans="1:8" ht="17.25" thickBot="1">
      <c r="A47" s="951" t="s">
        <v>784</v>
      </c>
      <c r="B47" s="952" t="s">
        <v>771</v>
      </c>
      <c r="C47" s="957">
        <f>'Расчет кормов 1оч'!J51</f>
        <v>462.00000000000006</v>
      </c>
      <c r="D47" s="958">
        <f>'Расет кормов расчср'!J51</f>
        <v>660</v>
      </c>
      <c r="E47" s="959" t="s">
        <v>754</v>
      </c>
      <c r="F47" s="959" t="s">
        <v>754</v>
      </c>
      <c r="G47" s="958" t="s">
        <v>754</v>
      </c>
      <c r="H47" s="960" t="s">
        <v>754</v>
      </c>
    </row>
    <row r="48" spans="1:8" ht="17.25" thickBot="1">
      <c r="A48" s="961"/>
      <c r="B48" s="962" t="s">
        <v>823</v>
      </c>
      <c r="C48" s="963" t="s">
        <v>754</v>
      </c>
      <c r="D48" s="964" t="s">
        <v>754</v>
      </c>
      <c r="E48" s="965" t="s">
        <v>754</v>
      </c>
      <c r="F48" s="965" t="s">
        <v>754</v>
      </c>
      <c r="G48" s="964">
        <f>G41+G43+G44+G46</f>
        <v>36.950833333333335</v>
      </c>
      <c r="H48" s="964">
        <f>H41+H43+H44+H46</f>
        <v>48.211428571428577</v>
      </c>
    </row>
    <row r="49" spans="1:8" ht="15.75" thickBot="1">
      <c r="A49" s="1439" t="s">
        <v>792</v>
      </c>
      <c r="B49" s="1439"/>
      <c r="C49" s="1439"/>
      <c r="D49" s="1439"/>
      <c r="E49" s="1439"/>
      <c r="F49" s="1439"/>
      <c r="G49" s="1439"/>
      <c r="H49" s="1439"/>
    </row>
    <row r="50" spans="1:8" ht="15.75" thickBot="1">
      <c r="A50" s="975">
        <v>1</v>
      </c>
      <c r="B50" s="962" t="s">
        <v>827</v>
      </c>
      <c r="C50" s="968">
        <f>'Расчет кормов 1оч'!J56</f>
        <v>27.720000000000002</v>
      </c>
      <c r="D50" s="969">
        <f>'Расет кормов расчср'!J56</f>
        <v>36.960000000000008</v>
      </c>
      <c r="E50" s="969">
        <v>28</v>
      </c>
      <c r="F50" s="976">
        <v>31</v>
      </c>
      <c r="G50" s="969">
        <f>C50/E50</f>
        <v>0.9900000000000001</v>
      </c>
      <c r="H50" s="969">
        <f>D50/F50</f>
        <v>1.1922580645161294</v>
      </c>
    </row>
    <row r="51" spans="1:8" ht="15.75" thickBot="1">
      <c r="A51" s="975">
        <v>2</v>
      </c>
      <c r="B51" s="977" t="s">
        <v>817</v>
      </c>
      <c r="C51" s="968">
        <f>'Расчет кормов 1оч'!J57</f>
        <v>69.300000000000011</v>
      </c>
      <c r="D51" s="969">
        <f>'Расет кормов расчср'!J57</f>
        <v>92.4</v>
      </c>
      <c r="E51" s="964" t="s">
        <v>754</v>
      </c>
      <c r="F51" s="978" t="s">
        <v>754</v>
      </c>
      <c r="G51" s="969" t="s">
        <v>754</v>
      </c>
      <c r="H51" s="964" t="s">
        <v>754</v>
      </c>
    </row>
    <row r="52" spans="1:8" ht="15.75" thickBot="1">
      <c r="A52" s="975">
        <v>3</v>
      </c>
      <c r="B52" s="977" t="s">
        <v>818</v>
      </c>
      <c r="C52" s="968">
        <f>'Расчет кормов 1оч'!J58</f>
        <v>110.88000000000001</v>
      </c>
      <c r="D52" s="969">
        <f>'Расет кормов расчср'!J58</f>
        <v>147.84000000000003</v>
      </c>
      <c r="E52" s="964">
        <v>250</v>
      </c>
      <c r="F52" s="978">
        <v>280</v>
      </c>
      <c r="G52" s="969">
        <f>C52/E52</f>
        <v>0.44352000000000003</v>
      </c>
      <c r="H52" s="969">
        <f>D52/F52</f>
        <v>0.52800000000000014</v>
      </c>
    </row>
    <row r="53" spans="1:8" ht="15.75" thickBot="1">
      <c r="A53" s="975">
        <v>4</v>
      </c>
      <c r="B53" s="977" t="s">
        <v>819</v>
      </c>
      <c r="C53" s="968">
        <f>'Расчет кормов 1оч'!J59</f>
        <v>52.800000000000004</v>
      </c>
      <c r="D53" s="969">
        <f>'Расет кормов расчср'!J59</f>
        <v>70.400000000000006</v>
      </c>
      <c r="E53" s="964">
        <v>280</v>
      </c>
      <c r="F53" s="978">
        <v>310</v>
      </c>
      <c r="G53" s="969">
        <f>C53/E53</f>
        <v>0.18857142857142858</v>
      </c>
      <c r="H53" s="969">
        <f>D53/F53</f>
        <v>0.2270967741935484</v>
      </c>
    </row>
    <row r="54" spans="1:8" ht="15.75" thickBot="1">
      <c r="A54" s="975">
        <v>5</v>
      </c>
      <c r="B54" s="977" t="s">
        <v>820</v>
      </c>
      <c r="C54" s="968">
        <f>'Расчет кормов 1оч'!J60</f>
        <v>179.02500000000001</v>
      </c>
      <c r="D54" s="969">
        <f>'Расет кормов расчср'!J60</f>
        <v>238.70000000000002</v>
      </c>
      <c r="E54" s="964">
        <v>50</v>
      </c>
      <c r="F54" s="978">
        <v>55</v>
      </c>
      <c r="G54" s="964" t="s">
        <v>754</v>
      </c>
      <c r="H54" s="964" t="s">
        <v>754</v>
      </c>
    </row>
    <row r="55" spans="1:8" ht="15.75" thickBot="1">
      <c r="A55" s="975">
        <v>6</v>
      </c>
      <c r="B55" s="977" t="s">
        <v>771</v>
      </c>
      <c r="C55" s="968">
        <f>'Расчет кормов 1оч'!J61</f>
        <v>66.247500000000002</v>
      </c>
      <c r="D55" s="969">
        <f>'Расет кормов расчср'!J61</f>
        <v>88.33</v>
      </c>
      <c r="E55" s="964" t="s">
        <v>754</v>
      </c>
      <c r="F55" s="978" t="s">
        <v>754</v>
      </c>
      <c r="G55" s="964" t="s">
        <v>754</v>
      </c>
      <c r="H55" s="964" t="s">
        <v>754</v>
      </c>
    </row>
    <row r="56" spans="1:8" ht="15.75" thickBot="1">
      <c r="A56" s="961"/>
      <c r="B56" s="962" t="s">
        <v>823</v>
      </c>
      <c r="C56" s="963" t="s">
        <v>754</v>
      </c>
      <c r="D56" s="964" t="s">
        <v>754</v>
      </c>
      <c r="E56" s="964" t="s">
        <v>754</v>
      </c>
      <c r="F56" s="978" t="s">
        <v>754</v>
      </c>
      <c r="G56" s="964">
        <f>G50+G52+G53</f>
        <v>1.6220914285714287</v>
      </c>
      <c r="H56" s="964">
        <f>H50+H52+H53</f>
        <v>1.947354838709678</v>
      </c>
    </row>
    <row r="57" spans="1:8" ht="15.75" thickBot="1">
      <c r="A57" s="1391" t="s">
        <v>791</v>
      </c>
      <c r="B57" s="1440"/>
      <c r="C57" s="1440"/>
      <c r="D57" s="1440"/>
      <c r="E57" s="1440"/>
      <c r="F57" s="1440"/>
      <c r="G57" s="1440"/>
      <c r="H57" s="1440"/>
    </row>
    <row r="58" spans="1:8" ht="17.25" thickBot="1">
      <c r="A58" s="966" t="s">
        <v>774</v>
      </c>
      <c r="B58" s="967" t="s">
        <v>775</v>
      </c>
      <c r="C58" s="968">
        <f>'Расчет кормов 1оч'!J66</f>
        <v>361.35</v>
      </c>
      <c r="D58" s="969">
        <f>'Расет кормов расчср'!J66</f>
        <v>421.57500000000005</v>
      </c>
      <c r="E58" s="970">
        <v>16</v>
      </c>
      <c r="F58" s="970">
        <v>16</v>
      </c>
      <c r="G58" s="969">
        <f>C58/E58</f>
        <v>22.584375000000001</v>
      </c>
      <c r="H58" s="969">
        <f>D58/F58</f>
        <v>26.348437500000003</v>
      </c>
    </row>
    <row r="59" spans="1:8" ht="17.25" thickBot="1">
      <c r="A59" s="971" t="s">
        <v>776</v>
      </c>
      <c r="B59" s="972" t="s">
        <v>777</v>
      </c>
      <c r="C59" s="968">
        <f>'Расчет кормов 1оч'!J67</f>
        <v>120.45</v>
      </c>
      <c r="D59" s="969">
        <f>'Расет кормов расчср'!J67</f>
        <v>140.52500000000001</v>
      </c>
      <c r="E59" s="973"/>
      <c r="F59" s="973"/>
      <c r="G59" s="969" t="s">
        <v>754</v>
      </c>
      <c r="H59" s="969" t="s">
        <v>754</v>
      </c>
    </row>
    <row r="60" spans="1:8" ht="17.25" thickBot="1">
      <c r="A60" s="971" t="s">
        <v>778</v>
      </c>
      <c r="B60" s="972" t="s">
        <v>824</v>
      </c>
      <c r="C60" s="968">
        <f>'Расчет кормов 1оч'!J68</f>
        <v>96.36</v>
      </c>
      <c r="D60" s="969">
        <f>'Расет кормов расчср'!J68</f>
        <v>112.42000000000002</v>
      </c>
      <c r="E60" s="973"/>
      <c r="F60" s="973"/>
      <c r="G60" s="969" t="s">
        <v>754</v>
      </c>
      <c r="H60" s="969" t="s">
        <v>754</v>
      </c>
    </row>
    <row r="61" spans="1:8" ht="17.25" thickBot="1">
      <c r="A61" s="971" t="s">
        <v>780</v>
      </c>
      <c r="B61" s="972" t="s">
        <v>825</v>
      </c>
      <c r="C61" s="968">
        <f>'Расчет кормов 1оч'!J69</f>
        <v>48.18</v>
      </c>
      <c r="D61" s="969">
        <f>'Расет кормов расчср'!J69</f>
        <v>56.210000000000008</v>
      </c>
      <c r="E61" s="965">
        <v>13</v>
      </c>
      <c r="F61" s="965">
        <v>13</v>
      </c>
      <c r="G61" s="969">
        <f t="shared" ref="G61:G63" si="3">C61/E61</f>
        <v>3.7061538461538461</v>
      </c>
      <c r="H61" s="969">
        <f t="shared" ref="H61:H63" si="4">D61/F61</f>
        <v>4.3238461538461541</v>
      </c>
    </row>
    <row r="62" spans="1:8" ht="17.25" thickBot="1">
      <c r="A62" s="971" t="s">
        <v>782</v>
      </c>
      <c r="B62" s="972" t="s">
        <v>769</v>
      </c>
      <c r="C62" s="968">
        <f>'Расчет кормов 1оч'!J70</f>
        <v>1204.5</v>
      </c>
      <c r="D62" s="969">
        <f>'Расет кормов расчср'!J70</f>
        <v>1405.25</v>
      </c>
      <c r="E62" s="965">
        <v>250</v>
      </c>
      <c r="F62" s="965">
        <v>250</v>
      </c>
      <c r="G62" s="969">
        <f t="shared" si="3"/>
        <v>4.8179999999999996</v>
      </c>
      <c r="H62" s="969">
        <f t="shared" si="4"/>
        <v>5.6210000000000004</v>
      </c>
    </row>
    <row r="63" spans="1:8" ht="17.25" thickBot="1">
      <c r="A63" s="971" t="s">
        <v>784</v>
      </c>
      <c r="B63" s="972" t="s">
        <v>826</v>
      </c>
      <c r="C63" s="968">
        <f>'Расчет кормов 1оч'!J71</f>
        <v>120.45</v>
      </c>
      <c r="D63" s="969">
        <f>'Расет кормов расчср'!J71</f>
        <v>140.52500000000001</v>
      </c>
      <c r="E63" s="965">
        <v>95</v>
      </c>
      <c r="F63" s="965">
        <v>95</v>
      </c>
      <c r="G63" s="969">
        <f t="shared" si="3"/>
        <v>1.2678947368421052</v>
      </c>
      <c r="H63" s="969">
        <f t="shared" si="4"/>
        <v>1.4792105263157895</v>
      </c>
    </row>
    <row r="64" spans="1:8" ht="17.25" thickBot="1">
      <c r="A64" s="961"/>
      <c r="B64" s="962" t="s">
        <v>823</v>
      </c>
      <c r="C64" s="963" t="s">
        <v>754</v>
      </c>
      <c r="D64" s="964" t="s">
        <v>754</v>
      </c>
      <c r="E64" s="965" t="s">
        <v>754</v>
      </c>
      <c r="F64" s="965" t="s">
        <v>754</v>
      </c>
      <c r="G64" s="964">
        <f>G58+G61+G62+G63</f>
        <v>32.376423582995947</v>
      </c>
      <c r="H64" s="964">
        <f>H58+H61+H62+H63</f>
        <v>37.772494180161949</v>
      </c>
    </row>
    <row r="65" spans="1:8" ht="15.75" thickBot="1">
      <c r="A65" s="1439" t="s">
        <v>793</v>
      </c>
      <c r="B65" s="1439"/>
      <c r="C65" s="1439"/>
      <c r="D65" s="1439"/>
      <c r="E65" s="1439"/>
      <c r="F65" s="1439"/>
      <c r="G65" s="1439"/>
      <c r="H65" s="1439"/>
    </row>
    <row r="66" spans="1:8" ht="17.25" thickBot="1">
      <c r="A66" s="945" t="s">
        <v>774</v>
      </c>
      <c r="B66" s="946" t="s">
        <v>814</v>
      </c>
      <c r="C66" s="947">
        <f>'Расчет кормов 1оч'!J75*0.75</f>
        <v>693.00000000000011</v>
      </c>
      <c r="D66" s="948">
        <f>'Расет кормов расчср'!J75*0.75</f>
        <v>1386.0000000000002</v>
      </c>
      <c r="E66" s="949">
        <v>10</v>
      </c>
      <c r="F66" s="949">
        <v>10</v>
      </c>
      <c r="G66" s="949" t="s">
        <v>754</v>
      </c>
      <c r="H66" s="950" t="s">
        <v>754</v>
      </c>
    </row>
    <row r="67" spans="1:8" ht="17.25" thickBot="1">
      <c r="A67" s="951" t="s">
        <v>815</v>
      </c>
      <c r="B67" s="952" t="s">
        <v>816</v>
      </c>
      <c r="C67" s="953">
        <f>'Расчет кормов 1оч'!J75*0.25</f>
        <v>231.00000000000003</v>
      </c>
      <c r="D67" s="954">
        <f>'Расет кормов расчср'!J75*0.25</f>
        <v>462.00000000000006</v>
      </c>
      <c r="E67" s="667">
        <v>28</v>
      </c>
      <c r="F67" s="667">
        <v>31</v>
      </c>
      <c r="G67" s="954">
        <f>C67/E67</f>
        <v>8.2500000000000018</v>
      </c>
      <c r="H67" s="955">
        <f>D67/F67</f>
        <v>14.903225806451614</v>
      </c>
    </row>
    <row r="68" spans="1:8" ht="17.25" thickBot="1">
      <c r="A68" s="951" t="s">
        <v>776</v>
      </c>
      <c r="B68" s="952" t="s">
        <v>817</v>
      </c>
      <c r="C68" s="956">
        <f>'Расчет кормов 1оч'!J76</f>
        <v>462.00000000000006</v>
      </c>
      <c r="D68" s="954">
        <f>'Расет кормов расчср'!J76</f>
        <v>924.00000000000011</v>
      </c>
      <c r="E68" s="667" t="s">
        <v>754</v>
      </c>
      <c r="F68" s="667" t="s">
        <v>754</v>
      </c>
      <c r="G68" s="954" t="s">
        <v>754</v>
      </c>
      <c r="H68" s="955" t="s">
        <v>754</v>
      </c>
    </row>
    <row r="69" spans="1:8" ht="17.25" thickBot="1">
      <c r="A69" s="951" t="s">
        <v>778</v>
      </c>
      <c r="B69" s="952" t="s">
        <v>818</v>
      </c>
      <c r="C69" s="956">
        <f>'Расчет кормов 1оч'!J77</f>
        <v>6600.0000000000009</v>
      </c>
      <c r="D69" s="954">
        <f>'Расет кормов расчср'!J77</f>
        <v>13200.000000000002</v>
      </c>
      <c r="E69" s="667">
        <v>250</v>
      </c>
      <c r="F69" s="667">
        <v>280</v>
      </c>
      <c r="G69" s="954">
        <f>C69/E69</f>
        <v>26.400000000000002</v>
      </c>
      <c r="H69" s="955">
        <f>D69/F69</f>
        <v>47.142857142857146</v>
      </c>
    </row>
    <row r="70" spans="1:8" ht="17.25" thickBot="1">
      <c r="A70" s="951" t="s">
        <v>780</v>
      </c>
      <c r="B70" s="952" t="s">
        <v>819</v>
      </c>
      <c r="C70" s="956">
        <f>'Расчет кормов 1оч'!J78</f>
        <v>1100</v>
      </c>
      <c r="D70" s="954">
        <f>'Расет кормов расчср'!J78</f>
        <v>2200</v>
      </c>
      <c r="E70" s="667">
        <v>280</v>
      </c>
      <c r="F70" s="667">
        <v>310</v>
      </c>
      <c r="G70" s="954">
        <f>C70/E70</f>
        <v>3.9285714285714284</v>
      </c>
      <c r="H70" s="955">
        <f>D70/F70</f>
        <v>7.096774193548387</v>
      </c>
    </row>
    <row r="71" spans="1:8" ht="17.25" thickBot="1">
      <c r="A71" s="951" t="s">
        <v>782</v>
      </c>
      <c r="B71" s="952" t="s">
        <v>820</v>
      </c>
      <c r="C71" s="956">
        <f>'Расчет кормов 1оч'!J79*0.75</f>
        <v>5115.0000000000009</v>
      </c>
      <c r="D71" s="954">
        <f>'Расет кормов расчср'!J79*0.75</f>
        <v>10230.000000000002</v>
      </c>
      <c r="E71" s="667">
        <v>50</v>
      </c>
      <c r="F71" s="667">
        <v>55</v>
      </c>
      <c r="G71" s="974" t="s">
        <v>754</v>
      </c>
      <c r="H71" s="955" t="s">
        <v>754</v>
      </c>
    </row>
    <row r="72" spans="1:8" ht="17.25" thickBot="1">
      <c r="A72" s="951" t="s">
        <v>821</v>
      </c>
      <c r="B72" s="952" t="s">
        <v>822</v>
      </c>
      <c r="C72" s="956">
        <f>'Расчет кормов 1оч'!J79*0.25</f>
        <v>1705.0000000000002</v>
      </c>
      <c r="D72" s="954">
        <f>'Расет кормов расчср'!J79*0.25</f>
        <v>3410.0000000000005</v>
      </c>
      <c r="E72" s="667">
        <v>120</v>
      </c>
      <c r="F72" s="667">
        <v>125</v>
      </c>
      <c r="G72" s="954">
        <f>C72/E72</f>
        <v>14.208333333333336</v>
      </c>
      <c r="H72" s="955">
        <f>D72/F72</f>
        <v>27.280000000000005</v>
      </c>
    </row>
    <row r="73" spans="1:8" ht="17.25" thickBot="1">
      <c r="A73" s="951" t="s">
        <v>784</v>
      </c>
      <c r="B73" s="952" t="s">
        <v>771</v>
      </c>
      <c r="C73" s="957">
        <f>'Расчет кормов 1оч'!J80</f>
        <v>660</v>
      </c>
      <c r="D73" s="958">
        <f>'Расет кормов расчср'!J80</f>
        <v>1320</v>
      </c>
      <c r="E73" s="959" t="s">
        <v>754</v>
      </c>
      <c r="F73" s="959" t="s">
        <v>754</v>
      </c>
      <c r="G73" s="958" t="s">
        <v>754</v>
      </c>
      <c r="H73" s="960" t="s">
        <v>754</v>
      </c>
    </row>
    <row r="74" spans="1:8" ht="17.25" thickBot="1">
      <c r="A74" s="961"/>
      <c r="B74" s="962" t="s">
        <v>823</v>
      </c>
      <c r="C74" s="963" t="s">
        <v>754</v>
      </c>
      <c r="D74" s="964" t="s">
        <v>754</v>
      </c>
      <c r="E74" s="965" t="s">
        <v>754</v>
      </c>
      <c r="F74" s="965" t="s">
        <v>754</v>
      </c>
      <c r="G74" s="964">
        <f>G67+G69+G70+G72</f>
        <v>52.786904761904772</v>
      </c>
      <c r="H74" s="964">
        <f>H67+H69+H70+H72</f>
        <v>96.422857142857154</v>
      </c>
    </row>
    <row r="75" spans="1:8" ht="15.75" thickBot="1">
      <c r="A75" s="1439" t="s">
        <v>794</v>
      </c>
      <c r="B75" s="1439"/>
      <c r="C75" s="1439"/>
      <c r="D75" s="1439"/>
      <c r="E75" s="1439"/>
      <c r="F75" s="1439"/>
      <c r="G75" s="1439"/>
      <c r="H75" s="1439"/>
    </row>
    <row r="76" spans="1:8" ht="17.25" thickBot="1">
      <c r="A76" s="945" t="s">
        <v>774</v>
      </c>
      <c r="B76" s="946" t="s">
        <v>814</v>
      </c>
      <c r="C76" s="947">
        <f>'Расчет кормов 1оч'!J84*0.75</f>
        <v>554.40000000000009</v>
      </c>
      <c r="D76" s="948">
        <f>'Расет кормов расчср'!J84*0.75</f>
        <v>623.70000000000005</v>
      </c>
      <c r="E76" s="949">
        <v>10</v>
      </c>
      <c r="F76" s="949">
        <v>10</v>
      </c>
      <c r="G76" s="949" t="s">
        <v>754</v>
      </c>
      <c r="H76" s="950" t="s">
        <v>754</v>
      </c>
    </row>
    <row r="77" spans="1:8" ht="17.25" thickBot="1">
      <c r="A77" s="951" t="s">
        <v>815</v>
      </c>
      <c r="B77" s="952" t="s">
        <v>816</v>
      </c>
      <c r="C77" s="953">
        <f>'Расчет кормов 1оч'!J84*0.25</f>
        <v>184.8</v>
      </c>
      <c r="D77" s="954">
        <f>'Расет кормов расчср'!J84*0.25</f>
        <v>207.9</v>
      </c>
      <c r="E77" s="667">
        <v>28</v>
      </c>
      <c r="F77" s="667">
        <v>31</v>
      </c>
      <c r="G77" s="954">
        <f>C77/E77</f>
        <v>6.6000000000000005</v>
      </c>
      <c r="H77" s="955">
        <f>D77/F77</f>
        <v>6.7064516129032263</v>
      </c>
    </row>
    <row r="78" spans="1:8" ht="17.25" thickBot="1">
      <c r="A78" s="951" t="s">
        <v>776</v>
      </c>
      <c r="B78" s="952" t="s">
        <v>817</v>
      </c>
      <c r="C78" s="956">
        <f>'Расчет кормов 1оч'!J85</f>
        <v>369.6</v>
      </c>
      <c r="D78" s="954">
        <f>'Расет кормов расчср'!J85</f>
        <v>415.8</v>
      </c>
      <c r="E78" s="667" t="s">
        <v>754</v>
      </c>
      <c r="F78" s="667" t="s">
        <v>754</v>
      </c>
      <c r="G78" s="954" t="s">
        <v>754</v>
      </c>
      <c r="H78" s="955" t="s">
        <v>754</v>
      </c>
    </row>
    <row r="79" spans="1:8" ht="17.25" thickBot="1">
      <c r="A79" s="951" t="s">
        <v>778</v>
      </c>
      <c r="B79" s="952" t="s">
        <v>818</v>
      </c>
      <c r="C79" s="956">
        <f>'Расчет кормов 1оч'!J86</f>
        <v>5280</v>
      </c>
      <c r="D79" s="954">
        <f>'Расет кормов расчср'!J86</f>
        <v>5940.0000000000009</v>
      </c>
      <c r="E79" s="667">
        <v>250</v>
      </c>
      <c r="F79" s="667">
        <v>280</v>
      </c>
      <c r="G79" s="954">
        <f>C79/E79</f>
        <v>21.12</v>
      </c>
      <c r="H79" s="955">
        <f>D79/F79</f>
        <v>21.214285714285719</v>
      </c>
    </row>
    <row r="80" spans="1:8" ht="17.25" thickBot="1">
      <c r="A80" s="951" t="s">
        <v>780</v>
      </c>
      <c r="B80" s="952" t="s">
        <v>819</v>
      </c>
      <c r="C80" s="956">
        <f>'Расчет кормов 1оч'!J87</f>
        <v>880.00000000000011</v>
      </c>
      <c r="D80" s="954">
        <f>'Расет кормов расчср'!J87</f>
        <v>990.00000000000011</v>
      </c>
      <c r="E80" s="667">
        <v>280</v>
      </c>
      <c r="F80" s="667">
        <v>310</v>
      </c>
      <c r="G80" s="954">
        <f>C80/E80</f>
        <v>3.1428571428571432</v>
      </c>
      <c r="H80" s="955">
        <f>D80/F80</f>
        <v>3.1935483870967745</v>
      </c>
    </row>
    <row r="81" spans="1:8" ht="17.25" thickBot="1">
      <c r="A81" s="951" t="s">
        <v>782</v>
      </c>
      <c r="B81" s="952" t="s">
        <v>820</v>
      </c>
      <c r="C81" s="956">
        <f>'Расчет кормов 1оч'!J88*0.75</f>
        <v>4092</v>
      </c>
      <c r="D81" s="954">
        <f>'Расет кормов расчср'!J88*0.75</f>
        <v>4603.5000000000009</v>
      </c>
      <c r="E81" s="667">
        <v>50</v>
      </c>
      <c r="F81" s="667">
        <v>55</v>
      </c>
      <c r="G81" s="974" t="s">
        <v>754</v>
      </c>
      <c r="H81" s="955" t="s">
        <v>754</v>
      </c>
    </row>
    <row r="82" spans="1:8" ht="17.25" thickBot="1">
      <c r="A82" s="951" t="s">
        <v>821</v>
      </c>
      <c r="B82" s="952" t="s">
        <v>822</v>
      </c>
      <c r="C82" s="956">
        <f>'Расчет кормов 1оч'!J88*0.25</f>
        <v>1364</v>
      </c>
      <c r="D82" s="954">
        <f>'Расет кормов расчср'!J88*0.25</f>
        <v>1534.5000000000002</v>
      </c>
      <c r="E82" s="667">
        <v>120</v>
      </c>
      <c r="F82" s="667">
        <v>125</v>
      </c>
      <c r="G82" s="954">
        <f>C82/E82</f>
        <v>11.366666666666667</v>
      </c>
      <c r="H82" s="955">
        <f>D82/F82</f>
        <v>12.276000000000002</v>
      </c>
    </row>
    <row r="83" spans="1:8" ht="17.25" thickBot="1">
      <c r="A83" s="951" t="s">
        <v>784</v>
      </c>
      <c r="B83" s="952" t="s">
        <v>771</v>
      </c>
      <c r="C83" s="957">
        <f>'Расчет кормов 1оч'!J89</f>
        <v>528</v>
      </c>
      <c r="D83" s="958">
        <f>'Расет кормов расчср'!J89</f>
        <v>594</v>
      </c>
      <c r="E83" s="959" t="s">
        <v>754</v>
      </c>
      <c r="F83" s="959" t="s">
        <v>754</v>
      </c>
      <c r="G83" s="958" t="s">
        <v>754</v>
      </c>
      <c r="H83" s="960" t="s">
        <v>754</v>
      </c>
    </row>
    <row r="84" spans="1:8" ht="17.25" thickBot="1">
      <c r="A84" s="961"/>
      <c r="B84" s="962" t="s">
        <v>823</v>
      </c>
      <c r="C84" s="963" t="s">
        <v>754</v>
      </c>
      <c r="D84" s="964" t="s">
        <v>754</v>
      </c>
      <c r="E84" s="965" t="s">
        <v>754</v>
      </c>
      <c r="F84" s="965" t="s">
        <v>754</v>
      </c>
      <c r="G84" s="964">
        <f>G77+G79+G80+G82</f>
        <v>42.229523809523812</v>
      </c>
      <c r="H84" s="964">
        <f>H77+H79+H80+H82</f>
        <v>43.390285714285724</v>
      </c>
    </row>
    <row r="85" spans="1:8" ht="15.75" thickBot="1">
      <c r="A85" s="1439" t="s">
        <v>796</v>
      </c>
      <c r="B85" s="1439"/>
      <c r="C85" s="1439"/>
      <c r="D85" s="1439"/>
      <c r="E85" s="1439"/>
      <c r="F85" s="1439"/>
      <c r="G85" s="1439"/>
      <c r="H85" s="1439"/>
    </row>
    <row r="86" spans="1:8" ht="15.75" thickBot="1">
      <c r="A86" s="975">
        <v>1</v>
      </c>
      <c r="B86" s="962" t="s">
        <v>827</v>
      </c>
      <c r="C86" s="968">
        <f>'Расчет кормов 1оч'!J93</f>
        <v>138.60000000000002</v>
      </c>
      <c r="D86" s="969">
        <f>'Расет кормов расчср'!J93</f>
        <v>138.60000000000002</v>
      </c>
      <c r="E86" s="969">
        <v>28</v>
      </c>
      <c r="F86" s="976">
        <v>31</v>
      </c>
      <c r="G86" s="969">
        <f>C86/E86</f>
        <v>4.9500000000000011</v>
      </c>
      <c r="H86" s="969">
        <f>D86/F86</f>
        <v>4.4709677419354845</v>
      </c>
    </row>
    <row r="87" spans="1:8" ht="15.75" thickBot="1">
      <c r="A87" s="975">
        <v>2</v>
      </c>
      <c r="B87" s="977" t="s">
        <v>817</v>
      </c>
      <c r="C87" s="968">
        <f>'Расчет кормов 1оч'!J94</f>
        <v>346.5</v>
      </c>
      <c r="D87" s="969">
        <f>'Расет кормов расчср'!J94</f>
        <v>346.5</v>
      </c>
      <c r="E87" s="964" t="s">
        <v>754</v>
      </c>
      <c r="F87" s="978" t="s">
        <v>754</v>
      </c>
      <c r="G87" s="969" t="s">
        <v>754</v>
      </c>
      <c r="H87" s="964" t="s">
        <v>754</v>
      </c>
    </row>
    <row r="88" spans="1:8" ht="15.75" thickBot="1">
      <c r="A88" s="975">
        <v>3</v>
      </c>
      <c r="B88" s="977" t="s">
        <v>818</v>
      </c>
      <c r="C88" s="968">
        <f>'Расчет кормов 1оч'!J95</f>
        <v>554.40000000000009</v>
      </c>
      <c r="D88" s="969">
        <f>'Расет кормов расчср'!J95</f>
        <v>554.40000000000009</v>
      </c>
      <c r="E88" s="964">
        <v>250</v>
      </c>
      <c r="F88" s="978">
        <v>280</v>
      </c>
      <c r="G88" s="969">
        <f>C88/E88</f>
        <v>2.2176000000000005</v>
      </c>
      <c r="H88" s="969">
        <f>D88/F88</f>
        <v>1.9800000000000004</v>
      </c>
    </row>
    <row r="89" spans="1:8" ht="15.75" thickBot="1">
      <c r="A89" s="975">
        <v>4</v>
      </c>
      <c r="B89" s="977" t="s">
        <v>819</v>
      </c>
      <c r="C89" s="968">
        <f>'Расчет кормов 1оч'!J96</f>
        <v>264</v>
      </c>
      <c r="D89" s="969">
        <f>'Расет кормов расчср'!J96</f>
        <v>264</v>
      </c>
      <c r="E89" s="964">
        <v>280</v>
      </c>
      <c r="F89" s="978">
        <v>310</v>
      </c>
      <c r="G89" s="969">
        <f>C89/E89</f>
        <v>0.94285714285714284</v>
      </c>
      <c r="H89" s="969">
        <f>D89/F89</f>
        <v>0.85161290322580641</v>
      </c>
    </row>
    <row r="90" spans="1:8" ht="15.75" thickBot="1">
      <c r="A90" s="975">
        <v>5</v>
      </c>
      <c r="B90" s="977" t="s">
        <v>820</v>
      </c>
      <c r="C90" s="968">
        <f>'Расчет кормов 1оч'!J97</f>
        <v>895.12500000000011</v>
      </c>
      <c r="D90" s="969">
        <f>'Расет кормов расчср'!J97</f>
        <v>895.12500000000011</v>
      </c>
      <c r="E90" s="964">
        <v>50</v>
      </c>
      <c r="F90" s="978">
        <v>55</v>
      </c>
      <c r="G90" s="964" t="s">
        <v>754</v>
      </c>
      <c r="H90" s="964" t="s">
        <v>754</v>
      </c>
    </row>
    <row r="91" spans="1:8" ht="15.75" thickBot="1">
      <c r="A91" s="975">
        <v>6</v>
      </c>
      <c r="B91" s="977" t="s">
        <v>771</v>
      </c>
      <c r="C91" s="968">
        <f>'Расчет кормов 1оч'!J98</f>
        <v>331.23750000000001</v>
      </c>
      <c r="D91" s="969">
        <f>'Расет кормов расчср'!J98</f>
        <v>331.23750000000001</v>
      </c>
      <c r="E91" s="964" t="s">
        <v>754</v>
      </c>
      <c r="F91" s="978" t="s">
        <v>754</v>
      </c>
      <c r="G91" s="964" t="s">
        <v>754</v>
      </c>
      <c r="H91" s="964" t="s">
        <v>754</v>
      </c>
    </row>
    <row r="92" spans="1:8" ht="15.75" thickBot="1">
      <c r="A92" s="961"/>
      <c r="B92" s="962" t="s">
        <v>823</v>
      </c>
      <c r="C92" s="963" t="s">
        <v>754</v>
      </c>
      <c r="D92" s="964" t="s">
        <v>754</v>
      </c>
      <c r="E92" s="964" t="s">
        <v>754</v>
      </c>
      <c r="F92" s="978" t="s">
        <v>754</v>
      </c>
      <c r="G92" s="964">
        <f>G86+G88+G89</f>
        <v>8.110457142857145</v>
      </c>
      <c r="H92" s="964">
        <f>H86+H88+H89</f>
        <v>7.3025806451612914</v>
      </c>
    </row>
    <row r="93" spans="1:8" ht="15.75" thickBot="1">
      <c r="A93" s="1391" t="s">
        <v>828</v>
      </c>
      <c r="B93" s="1440"/>
      <c r="C93" s="1440"/>
      <c r="D93" s="1440"/>
      <c r="E93" s="1440"/>
      <c r="F93" s="1440"/>
      <c r="G93" s="1440"/>
      <c r="H93" s="1440"/>
    </row>
    <row r="94" spans="1:8" ht="17.25" thickBot="1">
      <c r="A94" s="966" t="s">
        <v>774</v>
      </c>
      <c r="B94" s="967" t="s">
        <v>775</v>
      </c>
      <c r="C94" s="968">
        <f>'Расчет кормов 1оч'!J103</f>
        <v>903.37500000000011</v>
      </c>
      <c r="D94" s="969">
        <f>'Расет кормов расчср'!J103</f>
        <v>1023.825</v>
      </c>
      <c r="E94" s="970">
        <v>16</v>
      </c>
      <c r="F94" s="970">
        <v>16</v>
      </c>
      <c r="G94" s="969">
        <f>C94/E94</f>
        <v>56.460937500000007</v>
      </c>
      <c r="H94" s="969">
        <f>D94/F94</f>
        <v>63.989062500000003</v>
      </c>
    </row>
    <row r="95" spans="1:8" ht="17.25" thickBot="1">
      <c r="A95" s="971" t="s">
        <v>776</v>
      </c>
      <c r="B95" s="972" t="s">
        <v>777</v>
      </c>
      <c r="C95" s="968">
        <f>'Расчет кормов 1оч'!J104</f>
        <v>301.125</v>
      </c>
      <c r="D95" s="969">
        <f>'Расет кормов расчср'!J104</f>
        <v>341.27500000000003</v>
      </c>
      <c r="E95" s="973"/>
      <c r="F95" s="973"/>
      <c r="G95" s="969" t="s">
        <v>754</v>
      </c>
      <c r="H95" s="969" t="s">
        <v>754</v>
      </c>
    </row>
    <row r="96" spans="1:8" ht="17.25" thickBot="1">
      <c r="A96" s="971" t="s">
        <v>778</v>
      </c>
      <c r="B96" s="972" t="s">
        <v>824</v>
      </c>
      <c r="C96" s="968">
        <f>'Расчет кормов 1оч'!J105</f>
        <v>240.9</v>
      </c>
      <c r="D96" s="969">
        <f>'Расет кормов расчср'!J105</f>
        <v>273.02</v>
      </c>
      <c r="E96" s="973"/>
      <c r="F96" s="973"/>
      <c r="G96" s="969" t="s">
        <v>754</v>
      </c>
      <c r="H96" s="969" t="s">
        <v>754</v>
      </c>
    </row>
    <row r="97" spans="1:8" ht="17.25" thickBot="1">
      <c r="A97" s="971" t="s">
        <v>780</v>
      </c>
      <c r="B97" s="972" t="s">
        <v>825</v>
      </c>
      <c r="C97" s="968">
        <f>'Расчет кормов 1оч'!J106</f>
        <v>120.45</v>
      </c>
      <c r="D97" s="969">
        <f>'Расет кормов расчср'!J106</f>
        <v>136.51</v>
      </c>
      <c r="E97" s="965">
        <v>13</v>
      </c>
      <c r="F97" s="965">
        <v>13</v>
      </c>
      <c r="G97" s="969">
        <f t="shared" ref="G97:G99" si="5">C97/E97</f>
        <v>9.2653846153846153</v>
      </c>
      <c r="H97" s="969">
        <f t="shared" ref="H97:H99" si="6">D97/F97</f>
        <v>10.50076923076923</v>
      </c>
    </row>
    <row r="98" spans="1:8" ht="17.25" thickBot="1">
      <c r="A98" s="971" t="s">
        <v>782</v>
      </c>
      <c r="B98" s="972" t="s">
        <v>769</v>
      </c>
      <c r="C98" s="968">
        <f>'Расчет кормов 1оч'!J107</f>
        <v>3011.2500000000005</v>
      </c>
      <c r="D98" s="969">
        <f>'Расет кормов расчср'!J107</f>
        <v>3412.7500000000005</v>
      </c>
      <c r="E98" s="965">
        <v>250</v>
      </c>
      <c r="F98" s="965">
        <v>250</v>
      </c>
      <c r="G98" s="969">
        <f t="shared" si="5"/>
        <v>12.045000000000002</v>
      </c>
      <c r="H98" s="969">
        <f t="shared" si="6"/>
        <v>13.651000000000002</v>
      </c>
    </row>
    <row r="99" spans="1:8" ht="17.25" thickBot="1">
      <c r="A99" s="971" t="s">
        <v>784</v>
      </c>
      <c r="B99" s="972" t="s">
        <v>826</v>
      </c>
      <c r="C99" s="968">
        <f>'Расчет кормов 1оч'!J108</f>
        <v>301.125</v>
      </c>
      <c r="D99" s="969">
        <f>'Расет кормов расчср'!J108</f>
        <v>341.27500000000003</v>
      </c>
      <c r="E99" s="965">
        <v>95</v>
      </c>
      <c r="F99" s="965">
        <v>95</v>
      </c>
      <c r="G99" s="969">
        <f t="shared" si="5"/>
        <v>3.1697368421052632</v>
      </c>
      <c r="H99" s="969">
        <f t="shared" si="6"/>
        <v>3.5923684210526319</v>
      </c>
    </row>
    <row r="100" spans="1:8" ht="17.25" thickBot="1">
      <c r="A100" s="961"/>
      <c r="B100" s="962" t="s">
        <v>823</v>
      </c>
      <c r="C100" s="963" t="s">
        <v>754</v>
      </c>
      <c r="D100" s="964" t="s">
        <v>754</v>
      </c>
      <c r="E100" s="965" t="s">
        <v>754</v>
      </c>
      <c r="F100" s="965" t="s">
        <v>754</v>
      </c>
      <c r="G100" s="964">
        <f>G94+G97+G98+G99</f>
        <v>80.941058957489886</v>
      </c>
      <c r="H100" s="964">
        <f>H94+H97+H98+H99</f>
        <v>91.733200151821848</v>
      </c>
    </row>
    <row r="101" spans="1:8" ht="15.75" thickBot="1">
      <c r="A101" s="1439" t="s">
        <v>797</v>
      </c>
      <c r="B101" s="1439"/>
      <c r="C101" s="1439"/>
      <c r="D101" s="1439"/>
      <c r="E101" s="1439"/>
      <c r="F101" s="1439"/>
      <c r="G101" s="1439"/>
      <c r="H101" s="1439"/>
    </row>
    <row r="102" spans="1:8" ht="17.25" thickBot="1">
      <c r="A102" s="945" t="s">
        <v>774</v>
      </c>
      <c r="B102" s="946" t="s">
        <v>814</v>
      </c>
      <c r="C102" s="947">
        <f>'Расчет кормов 1оч'!J112*0.75</f>
        <v>1559.25</v>
      </c>
      <c r="D102" s="948">
        <f>'Расет кормов расчср'!J112*0.75</f>
        <v>2252.2500000000005</v>
      </c>
      <c r="E102" s="949">
        <v>10</v>
      </c>
      <c r="F102" s="949">
        <v>10</v>
      </c>
      <c r="G102" s="949" t="s">
        <v>754</v>
      </c>
      <c r="H102" s="950" t="s">
        <v>754</v>
      </c>
    </row>
    <row r="103" spans="1:8" ht="17.25" thickBot="1">
      <c r="A103" s="951" t="s">
        <v>815</v>
      </c>
      <c r="B103" s="952" t="s">
        <v>816</v>
      </c>
      <c r="C103" s="953">
        <f>'Расчет кормов 1оч'!J112*0.25</f>
        <v>519.75</v>
      </c>
      <c r="D103" s="954">
        <f>'Расет кормов расчср'!J112*0.25</f>
        <v>750.75000000000011</v>
      </c>
      <c r="E103" s="667">
        <v>28</v>
      </c>
      <c r="F103" s="667">
        <v>31</v>
      </c>
      <c r="G103" s="954">
        <f>C103/E103</f>
        <v>18.5625</v>
      </c>
      <c r="H103" s="955">
        <f>D103/F103</f>
        <v>24.217741935483875</v>
      </c>
    </row>
    <row r="104" spans="1:8" ht="17.25" thickBot="1">
      <c r="A104" s="951" t="s">
        <v>776</v>
      </c>
      <c r="B104" s="952" t="s">
        <v>817</v>
      </c>
      <c r="C104" s="956">
        <f>'Расчет кормов 1оч'!J113</f>
        <v>1039.5</v>
      </c>
      <c r="D104" s="954">
        <f>'Расет кормов расчср'!J113</f>
        <v>1501.5000000000002</v>
      </c>
      <c r="E104" s="667" t="s">
        <v>754</v>
      </c>
      <c r="F104" s="667" t="s">
        <v>754</v>
      </c>
      <c r="G104" s="954" t="s">
        <v>754</v>
      </c>
      <c r="H104" s="955" t="s">
        <v>754</v>
      </c>
    </row>
    <row r="105" spans="1:8" ht="17.25" thickBot="1">
      <c r="A105" s="951" t="s">
        <v>778</v>
      </c>
      <c r="B105" s="952" t="s">
        <v>818</v>
      </c>
      <c r="C105" s="956">
        <f>'Расчет кормов 1оч'!J114</f>
        <v>14850.000000000002</v>
      </c>
      <c r="D105" s="954">
        <f>'Расет кормов расчср'!J114</f>
        <v>21450</v>
      </c>
      <c r="E105" s="667">
        <v>250</v>
      </c>
      <c r="F105" s="667">
        <v>280</v>
      </c>
      <c r="G105" s="954">
        <f>C105/E105</f>
        <v>59.400000000000006</v>
      </c>
      <c r="H105" s="955">
        <f>D105/F105</f>
        <v>76.607142857142861</v>
      </c>
    </row>
    <row r="106" spans="1:8" ht="17.25" thickBot="1">
      <c r="A106" s="951" t="s">
        <v>780</v>
      </c>
      <c r="B106" s="952" t="s">
        <v>819</v>
      </c>
      <c r="C106" s="956">
        <f>'Расчет кормов 1оч'!J115</f>
        <v>2475</v>
      </c>
      <c r="D106" s="954">
        <f>'Расет кормов расчср'!J115</f>
        <v>3575.0000000000005</v>
      </c>
      <c r="E106" s="667">
        <v>280</v>
      </c>
      <c r="F106" s="667">
        <v>310</v>
      </c>
      <c r="G106" s="954">
        <f>C106/E106</f>
        <v>8.8392857142857135</v>
      </c>
      <c r="H106" s="955">
        <f>D106/F106</f>
        <v>11.53225806451613</v>
      </c>
    </row>
    <row r="107" spans="1:8" ht="17.25" thickBot="1">
      <c r="A107" s="951" t="s">
        <v>782</v>
      </c>
      <c r="B107" s="952" t="s">
        <v>820</v>
      </c>
      <c r="C107" s="956">
        <f>'Расчет кормов 1оч'!J116*0.75</f>
        <v>11508.750000000002</v>
      </c>
      <c r="D107" s="954">
        <f>'Расет кормов расчср'!J116*0.75</f>
        <v>16623.75</v>
      </c>
      <c r="E107" s="667">
        <v>50</v>
      </c>
      <c r="F107" s="667">
        <v>55</v>
      </c>
      <c r="G107" s="974" t="s">
        <v>754</v>
      </c>
      <c r="H107" s="955" t="s">
        <v>754</v>
      </c>
    </row>
    <row r="108" spans="1:8" ht="17.25" thickBot="1">
      <c r="A108" s="951" t="s">
        <v>821</v>
      </c>
      <c r="B108" s="952" t="s">
        <v>822</v>
      </c>
      <c r="C108" s="956">
        <f>'Расчет кормов 1оч'!J116*0.25</f>
        <v>3836.2500000000005</v>
      </c>
      <c r="D108" s="954">
        <f>'Расет кормов расчср'!J116*0.25</f>
        <v>5541.25</v>
      </c>
      <c r="E108" s="667">
        <v>120</v>
      </c>
      <c r="F108" s="667">
        <v>125</v>
      </c>
      <c r="G108" s="954">
        <f>C108/E108</f>
        <v>31.968750000000004</v>
      </c>
      <c r="H108" s="955">
        <f>D108/F108</f>
        <v>44.33</v>
      </c>
    </row>
    <row r="109" spans="1:8" ht="17.25" thickBot="1">
      <c r="A109" s="951" t="s">
        <v>784</v>
      </c>
      <c r="B109" s="952" t="s">
        <v>771</v>
      </c>
      <c r="C109" s="957">
        <f>'Расчет кормов 1оч'!J117</f>
        <v>1485.0000000000002</v>
      </c>
      <c r="D109" s="958">
        <f>'Расет кормов расчср'!J117</f>
        <v>2145</v>
      </c>
      <c r="E109" s="959" t="s">
        <v>754</v>
      </c>
      <c r="F109" s="959" t="s">
        <v>754</v>
      </c>
      <c r="G109" s="958" t="s">
        <v>754</v>
      </c>
      <c r="H109" s="960" t="s">
        <v>754</v>
      </c>
    </row>
    <row r="110" spans="1:8" ht="17.25" thickBot="1">
      <c r="A110" s="961"/>
      <c r="B110" s="962" t="s">
        <v>823</v>
      </c>
      <c r="C110" s="963" t="s">
        <v>754</v>
      </c>
      <c r="D110" s="964" t="s">
        <v>754</v>
      </c>
      <c r="E110" s="965" t="s">
        <v>754</v>
      </c>
      <c r="F110" s="965" t="s">
        <v>754</v>
      </c>
      <c r="G110" s="964">
        <f>G103+G105+G106+G108</f>
        <v>118.77053571428571</v>
      </c>
      <c r="H110" s="964">
        <f>H103+H105+H106+H108</f>
        <v>156.68714285714287</v>
      </c>
    </row>
    <row r="111" spans="1:8" ht="15.75" thickBot="1">
      <c r="A111" s="1439" t="s">
        <v>829</v>
      </c>
      <c r="B111" s="1439"/>
      <c r="C111" s="1439"/>
      <c r="D111" s="1439"/>
      <c r="E111" s="1439"/>
      <c r="F111" s="1439"/>
      <c r="G111" s="1439"/>
      <c r="H111" s="1439"/>
    </row>
    <row r="112" spans="1:8" ht="15.75" thickBot="1">
      <c r="A112" s="975">
        <v>1</v>
      </c>
      <c r="B112" s="962" t="s">
        <v>827</v>
      </c>
      <c r="C112" s="968">
        <f>'Расчет кормов 1оч'!J121</f>
        <v>415.8</v>
      </c>
      <c r="D112" s="969">
        <f>'Расет кормов расчср'!J121</f>
        <v>462.00000000000006</v>
      </c>
      <c r="E112" s="969">
        <v>28</v>
      </c>
      <c r="F112" s="976">
        <v>31</v>
      </c>
      <c r="G112" s="969">
        <f>C112/E112</f>
        <v>14.85</v>
      </c>
      <c r="H112" s="969">
        <f>D112/F112</f>
        <v>14.903225806451614</v>
      </c>
    </row>
    <row r="113" spans="1:8" ht="15.75" thickBot="1">
      <c r="A113" s="975">
        <v>2</v>
      </c>
      <c r="B113" s="977" t="s">
        <v>817</v>
      </c>
      <c r="C113" s="968">
        <f>'Расчет кормов 1оч'!J122</f>
        <v>1039.5</v>
      </c>
      <c r="D113" s="969">
        <f>'Расет кормов расчср'!J122</f>
        <v>1155</v>
      </c>
      <c r="E113" s="964" t="s">
        <v>754</v>
      </c>
      <c r="F113" s="978" t="s">
        <v>754</v>
      </c>
      <c r="G113" s="969" t="s">
        <v>754</v>
      </c>
      <c r="H113" s="964" t="s">
        <v>754</v>
      </c>
    </row>
    <row r="114" spans="1:8" ht="15.75" thickBot="1">
      <c r="A114" s="975">
        <v>3</v>
      </c>
      <c r="B114" s="977" t="s">
        <v>818</v>
      </c>
      <c r="C114" s="968">
        <f>'Расчет кормов 1оч'!J123</f>
        <v>1663.2</v>
      </c>
      <c r="D114" s="969">
        <f>'Расет кормов расчср'!J123</f>
        <v>1848.0000000000002</v>
      </c>
      <c r="E114" s="964">
        <v>250</v>
      </c>
      <c r="F114" s="978">
        <v>280</v>
      </c>
      <c r="G114" s="969">
        <f>C114/E114</f>
        <v>6.6528</v>
      </c>
      <c r="H114" s="969">
        <f>D114/F114</f>
        <v>6.6000000000000005</v>
      </c>
    </row>
    <row r="115" spans="1:8" ht="15.75" thickBot="1">
      <c r="A115" s="975">
        <v>4</v>
      </c>
      <c r="B115" s="977" t="s">
        <v>819</v>
      </c>
      <c r="C115" s="968">
        <f>'Расчет кормов 1оч'!J124</f>
        <v>792.00000000000011</v>
      </c>
      <c r="D115" s="969">
        <f>'Расет кормов расчср'!J124</f>
        <v>880.00000000000011</v>
      </c>
      <c r="E115" s="964">
        <v>280</v>
      </c>
      <c r="F115" s="978">
        <v>310</v>
      </c>
      <c r="G115" s="969">
        <f>C115/E115</f>
        <v>2.8285714285714292</v>
      </c>
      <c r="H115" s="969">
        <f>D115/F115</f>
        <v>2.8387096774193554</v>
      </c>
    </row>
    <row r="116" spans="1:8" ht="15.75" thickBot="1">
      <c r="A116" s="975">
        <v>5</v>
      </c>
      <c r="B116" s="977" t="s">
        <v>820</v>
      </c>
      <c r="C116" s="968">
        <f>'Расчет кормов 1оч'!J125</f>
        <v>2685.375</v>
      </c>
      <c r="D116" s="969">
        <f>'Расет кормов расчср'!J125</f>
        <v>2983.7500000000005</v>
      </c>
      <c r="E116" s="964">
        <v>50</v>
      </c>
      <c r="F116" s="978">
        <v>55</v>
      </c>
      <c r="G116" s="964" t="s">
        <v>754</v>
      </c>
      <c r="H116" s="964" t="s">
        <v>754</v>
      </c>
    </row>
    <row r="117" spans="1:8" ht="15.75" thickBot="1">
      <c r="A117" s="975">
        <v>6</v>
      </c>
      <c r="B117" s="977" t="s">
        <v>771</v>
      </c>
      <c r="C117" s="968">
        <f>'Расчет кормов 1оч'!J126</f>
        <v>993.71250000000009</v>
      </c>
      <c r="D117" s="969">
        <f>'Расет кормов расчср'!J126</f>
        <v>1104.125</v>
      </c>
      <c r="E117" s="964" t="s">
        <v>754</v>
      </c>
      <c r="F117" s="978" t="s">
        <v>754</v>
      </c>
      <c r="G117" s="964" t="s">
        <v>754</v>
      </c>
      <c r="H117" s="964" t="s">
        <v>754</v>
      </c>
    </row>
    <row r="118" spans="1:8" ht="15.75" thickBot="1">
      <c r="A118" s="961"/>
      <c r="B118" s="962" t="s">
        <v>823</v>
      </c>
      <c r="C118" s="963" t="s">
        <v>754</v>
      </c>
      <c r="D118" s="964" t="s">
        <v>754</v>
      </c>
      <c r="E118" s="964" t="s">
        <v>754</v>
      </c>
      <c r="F118" s="978" t="s">
        <v>754</v>
      </c>
      <c r="G118" s="964">
        <f>G112+G114+G115</f>
        <v>24.33137142857143</v>
      </c>
      <c r="H118" s="964">
        <f>H112+H114+H115</f>
        <v>24.341935483870969</v>
      </c>
    </row>
    <row r="119" spans="1:8" ht="15.75" thickBot="1">
      <c r="A119" s="1439" t="s">
        <v>799</v>
      </c>
      <c r="B119" s="1439"/>
      <c r="C119" s="1439"/>
      <c r="D119" s="1439"/>
      <c r="E119" s="1439"/>
      <c r="F119" s="1439"/>
      <c r="G119" s="1439"/>
      <c r="H119" s="1439"/>
    </row>
    <row r="120" spans="1:8" ht="17.25" thickBot="1">
      <c r="A120" s="945" t="s">
        <v>774</v>
      </c>
      <c r="B120" s="946" t="s">
        <v>814</v>
      </c>
      <c r="C120" s="947">
        <f>'Расчет кормов 1оч'!J130*0.75</f>
        <v>11088.000000000002</v>
      </c>
      <c r="D120" s="948">
        <f>'Расет кормов расчср'!J130*0.75</f>
        <v>13167</v>
      </c>
      <c r="E120" s="949">
        <v>10</v>
      </c>
      <c r="F120" s="949">
        <v>10</v>
      </c>
      <c r="G120" s="949" t="s">
        <v>754</v>
      </c>
      <c r="H120" s="950" t="s">
        <v>754</v>
      </c>
    </row>
    <row r="121" spans="1:8" ht="17.25" thickBot="1">
      <c r="A121" s="951" t="s">
        <v>815</v>
      </c>
      <c r="B121" s="952" t="s">
        <v>816</v>
      </c>
      <c r="C121" s="953">
        <f>'Расчет кормов 1оч'!J130*0.25</f>
        <v>3696.0000000000005</v>
      </c>
      <c r="D121" s="954">
        <f>'Расет кормов расчср'!J130*0.25</f>
        <v>4389</v>
      </c>
      <c r="E121" s="667">
        <v>28</v>
      </c>
      <c r="F121" s="667">
        <v>31</v>
      </c>
      <c r="G121" s="954">
        <f>C121/E121</f>
        <v>132.00000000000003</v>
      </c>
      <c r="H121" s="955">
        <f>D121/F121</f>
        <v>141.58064516129033</v>
      </c>
    </row>
    <row r="122" spans="1:8" ht="17.25" thickBot="1">
      <c r="A122" s="951" t="s">
        <v>776</v>
      </c>
      <c r="B122" s="952" t="s">
        <v>817</v>
      </c>
      <c r="C122" s="956">
        <f>'Расчет кормов 1оч'!J131</f>
        <v>7392.0000000000009</v>
      </c>
      <c r="D122" s="954">
        <f>'Расет кормов расчср'!J131</f>
        <v>8778</v>
      </c>
      <c r="E122" s="667" t="s">
        <v>754</v>
      </c>
      <c r="F122" s="667" t="s">
        <v>754</v>
      </c>
      <c r="G122" s="954" t="s">
        <v>754</v>
      </c>
      <c r="H122" s="955" t="s">
        <v>754</v>
      </c>
    </row>
    <row r="123" spans="1:8" ht="17.25" thickBot="1">
      <c r="A123" s="951" t="s">
        <v>778</v>
      </c>
      <c r="B123" s="952" t="s">
        <v>818</v>
      </c>
      <c r="C123" s="956">
        <f>'Расчет кормов 1оч'!J132</f>
        <v>105600.00000000001</v>
      </c>
      <c r="D123" s="954">
        <f>'Расет кормов расчср'!J132</f>
        <v>125400.00000000001</v>
      </c>
      <c r="E123" s="667">
        <v>250</v>
      </c>
      <c r="F123" s="667">
        <v>280</v>
      </c>
      <c r="G123" s="954">
        <f>C123/E123</f>
        <v>422.40000000000003</v>
      </c>
      <c r="H123" s="955">
        <f>D123/F123</f>
        <v>447.85714285714289</v>
      </c>
    </row>
    <row r="124" spans="1:8" ht="17.25" thickBot="1">
      <c r="A124" s="951" t="s">
        <v>780</v>
      </c>
      <c r="B124" s="952" t="s">
        <v>819</v>
      </c>
      <c r="C124" s="956">
        <f>'Расчет кормов 1оч'!J133</f>
        <v>17600</v>
      </c>
      <c r="D124" s="954">
        <f>'Расет кормов расчср'!J133</f>
        <v>20900</v>
      </c>
      <c r="E124" s="667">
        <v>280</v>
      </c>
      <c r="F124" s="667">
        <v>310</v>
      </c>
      <c r="G124" s="954">
        <f>C124/E124</f>
        <v>62.857142857142854</v>
      </c>
      <c r="H124" s="955">
        <f>D124/F124</f>
        <v>67.41935483870968</v>
      </c>
    </row>
    <row r="125" spans="1:8" ht="17.25" thickBot="1">
      <c r="A125" s="951" t="s">
        <v>782</v>
      </c>
      <c r="B125" s="952" t="s">
        <v>820</v>
      </c>
      <c r="C125" s="956">
        <f>'Расчет кормов 1оч'!J134*0.75</f>
        <v>81840.000000000015</v>
      </c>
      <c r="D125" s="954">
        <f>'Расет кормов расчср'!J134*0.75</f>
        <v>97185.000000000015</v>
      </c>
      <c r="E125" s="667">
        <v>50</v>
      </c>
      <c r="F125" s="667">
        <v>55</v>
      </c>
      <c r="G125" s="974" t="s">
        <v>754</v>
      </c>
      <c r="H125" s="955" t="s">
        <v>754</v>
      </c>
    </row>
    <row r="126" spans="1:8" ht="17.25" thickBot="1">
      <c r="A126" s="951" t="s">
        <v>821</v>
      </c>
      <c r="B126" s="952" t="s">
        <v>822</v>
      </c>
      <c r="C126" s="956">
        <f>'Расчет кормов 1оч'!J134*0.25</f>
        <v>27280.000000000004</v>
      </c>
      <c r="D126" s="954">
        <f>'Расет кормов расчср'!J134*0.25</f>
        <v>32395.000000000004</v>
      </c>
      <c r="E126" s="667">
        <v>120</v>
      </c>
      <c r="F126" s="667">
        <v>125</v>
      </c>
      <c r="G126" s="954">
        <f>C126/E126</f>
        <v>227.33333333333337</v>
      </c>
      <c r="H126" s="955">
        <f>D126/F126</f>
        <v>259.16000000000003</v>
      </c>
    </row>
    <row r="127" spans="1:8" ht="17.25" thickBot="1">
      <c r="A127" s="951" t="s">
        <v>784</v>
      </c>
      <c r="B127" s="952" t="s">
        <v>771</v>
      </c>
      <c r="C127" s="957">
        <f>'Расчет кормов 1оч'!J135</f>
        <v>10560</v>
      </c>
      <c r="D127" s="958">
        <f>'Расет кормов расчср'!J135</f>
        <v>12540.000000000002</v>
      </c>
      <c r="E127" s="959" t="s">
        <v>754</v>
      </c>
      <c r="F127" s="959" t="s">
        <v>754</v>
      </c>
      <c r="G127" s="958" t="s">
        <v>754</v>
      </c>
      <c r="H127" s="960" t="s">
        <v>754</v>
      </c>
    </row>
    <row r="128" spans="1:8" ht="17.25" thickBot="1">
      <c r="A128" s="961"/>
      <c r="B128" s="962" t="s">
        <v>823</v>
      </c>
      <c r="C128" s="963" t="s">
        <v>754</v>
      </c>
      <c r="D128" s="964" t="s">
        <v>754</v>
      </c>
      <c r="E128" s="965" t="s">
        <v>754</v>
      </c>
      <c r="F128" s="965" t="s">
        <v>754</v>
      </c>
      <c r="G128" s="964">
        <f>G121+G123+G124+G126</f>
        <v>844.59047619047635</v>
      </c>
      <c r="H128" s="964">
        <f>H121+H123+H124+H126</f>
        <v>916.01714285714297</v>
      </c>
    </row>
    <row r="129" spans="1:8" ht="15.75" thickBot="1">
      <c r="A129" s="1439" t="s">
        <v>806</v>
      </c>
      <c r="B129" s="1439"/>
      <c r="C129" s="1439"/>
      <c r="D129" s="1439"/>
      <c r="E129" s="1439"/>
      <c r="F129" s="1439"/>
      <c r="G129" s="1439"/>
      <c r="H129" s="1439"/>
    </row>
    <row r="130" spans="1:8" ht="15.75" thickBot="1">
      <c r="A130" s="975">
        <v>1</v>
      </c>
      <c r="B130" s="962" t="s">
        <v>827</v>
      </c>
      <c r="C130" s="968">
        <f>'Расчет кормов 1оч'!J139</f>
        <v>1201.2</v>
      </c>
      <c r="D130" s="969">
        <f>'Расет кормов расчср'!J139</f>
        <v>1293.6000000000001</v>
      </c>
      <c r="E130" s="969">
        <v>28</v>
      </c>
      <c r="F130" s="976">
        <v>31</v>
      </c>
      <c r="G130" s="969">
        <f>C130/E130</f>
        <v>42.9</v>
      </c>
      <c r="H130" s="969">
        <f>D130/F130</f>
        <v>41.729032258064521</v>
      </c>
    </row>
    <row r="131" spans="1:8" ht="15.75" thickBot="1">
      <c r="A131" s="975">
        <v>2</v>
      </c>
      <c r="B131" s="977" t="s">
        <v>817</v>
      </c>
      <c r="C131" s="968">
        <f>'Расчет кормов 1оч'!J140</f>
        <v>3003.0000000000005</v>
      </c>
      <c r="D131" s="969">
        <f>'Расет кормов расчср'!J140</f>
        <v>3234.0000000000005</v>
      </c>
      <c r="E131" s="964" t="s">
        <v>754</v>
      </c>
      <c r="F131" s="978" t="s">
        <v>754</v>
      </c>
      <c r="G131" s="969" t="s">
        <v>754</v>
      </c>
      <c r="H131" s="964" t="s">
        <v>754</v>
      </c>
    </row>
    <row r="132" spans="1:8" ht="15.75" thickBot="1">
      <c r="A132" s="975">
        <v>3</v>
      </c>
      <c r="B132" s="977" t="s">
        <v>818</v>
      </c>
      <c r="C132" s="968">
        <f>'Расчет кормов 1оч'!J141</f>
        <v>4804.8</v>
      </c>
      <c r="D132" s="969">
        <f>'Расет кормов расчср'!J141</f>
        <v>5174.4000000000005</v>
      </c>
      <c r="E132" s="964">
        <v>250</v>
      </c>
      <c r="F132" s="978">
        <v>280</v>
      </c>
      <c r="G132" s="969">
        <f>C132/E132</f>
        <v>19.219200000000001</v>
      </c>
      <c r="H132" s="969">
        <f>D132/F132</f>
        <v>18.48</v>
      </c>
    </row>
    <row r="133" spans="1:8" ht="15.75" thickBot="1">
      <c r="A133" s="975">
        <v>4</v>
      </c>
      <c r="B133" s="977" t="s">
        <v>819</v>
      </c>
      <c r="C133" s="968">
        <f>'Расчет кормов 1оч'!J142</f>
        <v>2288</v>
      </c>
      <c r="D133" s="969">
        <f>'Расет кормов расчср'!J142</f>
        <v>2464</v>
      </c>
      <c r="E133" s="964">
        <v>280</v>
      </c>
      <c r="F133" s="978">
        <v>310</v>
      </c>
      <c r="G133" s="969">
        <f>C133/E133</f>
        <v>8.1714285714285708</v>
      </c>
      <c r="H133" s="969">
        <f>D133/F133</f>
        <v>7.9483870967741934</v>
      </c>
    </row>
    <row r="134" spans="1:8" ht="15.75" thickBot="1">
      <c r="A134" s="975">
        <v>5</v>
      </c>
      <c r="B134" s="977" t="s">
        <v>820</v>
      </c>
      <c r="C134" s="968">
        <f>'Расчет кормов 1оч'!J143</f>
        <v>7757.7500000000009</v>
      </c>
      <c r="D134" s="969">
        <f>'Расет кормов расчср'!J143</f>
        <v>8354.5</v>
      </c>
      <c r="E134" s="964">
        <v>50</v>
      </c>
      <c r="F134" s="978">
        <v>55</v>
      </c>
      <c r="G134" s="964" t="s">
        <v>754</v>
      </c>
      <c r="H134" s="964" t="s">
        <v>754</v>
      </c>
    </row>
    <row r="135" spans="1:8" ht="15.75" thickBot="1">
      <c r="A135" s="975">
        <v>6</v>
      </c>
      <c r="B135" s="977" t="s">
        <v>771</v>
      </c>
      <c r="C135" s="968">
        <f>'Расчет кормов 1оч'!J144</f>
        <v>2870.7250000000004</v>
      </c>
      <c r="D135" s="969">
        <f>'Расет кормов расчср'!J144</f>
        <v>3091.55</v>
      </c>
      <c r="E135" s="964" t="s">
        <v>754</v>
      </c>
      <c r="F135" s="978" t="s">
        <v>754</v>
      </c>
      <c r="G135" s="964" t="s">
        <v>754</v>
      </c>
      <c r="H135" s="964" t="s">
        <v>754</v>
      </c>
    </row>
    <row r="136" spans="1:8" ht="15.75" thickBot="1">
      <c r="A136" s="961"/>
      <c r="B136" s="962" t="s">
        <v>823</v>
      </c>
      <c r="C136" s="963" t="s">
        <v>754</v>
      </c>
      <c r="D136" s="964" t="s">
        <v>754</v>
      </c>
      <c r="E136" s="964" t="s">
        <v>754</v>
      </c>
      <c r="F136" s="978" t="s">
        <v>754</v>
      </c>
      <c r="G136" s="964">
        <f>G130+G132+G133</f>
        <v>70.29062857142857</v>
      </c>
      <c r="H136" s="964">
        <f>H130+H132+H133</f>
        <v>68.157419354838723</v>
      </c>
    </row>
    <row r="137" spans="1:8" ht="15.75" thickBot="1">
      <c r="A137" s="1439" t="s">
        <v>800</v>
      </c>
      <c r="B137" s="1439"/>
      <c r="C137" s="1439"/>
      <c r="D137" s="1439"/>
      <c r="E137" s="1439"/>
      <c r="F137" s="1439"/>
      <c r="G137" s="1439"/>
      <c r="H137" s="1439"/>
    </row>
    <row r="138" spans="1:8" ht="17.25" thickBot="1">
      <c r="A138" s="945" t="s">
        <v>774</v>
      </c>
      <c r="B138" s="946" t="s">
        <v>814</v>
      </c>
      <c r="C138" s="947">
        <f>'Расчет кормов 1оч'!J148*0.75</f>
        <v>138.60000000000002</v>
      </c>
      <c r="D138" s="948">
        <f>'Расет кормов расчср'!J148*0.75</f>
        <v>138.60000000000002</v>
      </c>
      <c r="E138" s="949">
        <v>10</v>
      </c>
      <c r="F138" s="949">
        <v>10</v>
      </c>
      <c r="G138" s="949" t="s">
        <v>754</v>
      </c>
      <c r="H138" s="950" t="s">
        <v>754</v>
      </c>
    </row>
    <row r="139" spans="1:8" ht="17.25" thickBot="1">
      <c r="A139" s="951" t="s">
        <v>815</v>
      </c>
      <c r="B139" s="952" t="s">
        <v>816</v>
      </c>
      <c r="C139" s="953">
        <f>'Расчет кормов 1оч'!J148*0.25</f>
        <v>46.2</v>
      </c>
      <c r="D139" s="954">
        <f>'Расет кормов расчср'!J148*0.25</f>
        <v>46.2</v>
      </c>
      <c r="E139" s="667">
        <v>28</v>
      </c>
      <c r="F139" s="667">
        <v>31</v>
      </c>
      <c r="G139" s="954">
        <f>C139/E139</f>
        <v>1.6500000000000001</v>
      </c>
      <c r="H139" s="955">
        <f>D139/F139</f>
        <v>1.4903225806451614</v>
      </c>
    </row>
    <row r="140" spans="1:8" ht="17.25" thickBot="1">
      <c r="A140" s="951" t="s">
        <v>776</v>
      </c>
      <c r="B140" s="952" t="s">
        <v>817</v>
      </c>
      <c r="C140" s="956">
        <f>'Расчет кормов 1оч'!J149</f>
        <v>92.4</v>
      </c>
      <c r="D140" s="954">
        <f>'Расет кормов расчср'!J149</f>
        <v>92.4</v>
      </c>
      <c r="E140" s="667" t="s">
        <v>754</v>
      </c>
      <c r="F140" s="667" t="s">
        <v>754</v>
      </c>
      <c r="G140" s="954" t="s">
        <v>754</v>
      </c>
      <c r="H140" s="955" t="s">
        <v>754</v>
      </c>
    </row>
    <row r="141" spans="1:8" ht="17.25" thickBot="1">
      <c r="A141" s="951" t="s">
        <v>778</v>
      </c>
      <c r="B141" s="952" t="s">
        <v>818</v>
      </c>
      <c r="C141" s="956">
        <f>'Расчет кормов 1оч'!J150</f>
        <v>1320</v>
      </c>
      <c r="D141" s="954">
        <f>'Расет кормов расчср'!J150</f>
        <v>1320</v>
      </c>
      <c r="E141" s="667">
        <v>250</v>
      </c>
      <c r="F141" s="667">
        <v>280</v>
      </c>
      <c r="G141" s="954">
        <f>C141/E141</f>
        <v>5.28</v>
      </c>
      <c r="H141" s="955">
        <f>D141/F141</f>
        <v>4.7142857142857144</v>
      </c>
    </row>
    <row r="142" spans="1:8" ht="17.25" thickBot="1">
      <c r="A142" s="951" t="s">
        <v>780</v>
      </c>
      <c r="B142" s="952" t="s">
        <v>819</v>
      </c>
      <c r="C142" s="956">
        <f>'Расчет кормов 1оч'!J151</f>
        <v>220.00000000000003</v>
      </c>
      <c r="D142" s="954">
        <f>'Расет кормов расчср'!J151</f>
        <v>220.00000000000003</v>
      </c>
      <c r="E142" s="667">
        <v>280</v>
      </c>
      <c r="F142" s="667">
        <v>310</v>
      </c>
      <c r="G142" s="954">
        <f>C142/E142</f>
        <v>0.78571428571428581</v>
      </c>
      <c r="H142" s="955">
        <f>D142/F142</f>
        <v>0.70967741935483886</v>
      </c>
    </row>
    <row r="143" spans="1:8" ht="17.25" thickBot="1">
      <c r="A143" s="951" t="s">
        <v>782</v>
      </c>
      <c r="B143" s="952" t="s">
        <v>820</v>
      </c>
      <c r="C143" s="956">
        <f>'Расчет кормов 1оч'!J152*0.75</f>
        <v>1023</v>
      </c>
      <c r="D143" s="954">
        <f>'Расет кормов расчср'!J152*0.75</f>
        <v>1023</v>
      </c>
      <c r="E143" s="667">
        <v>50</v>
      </c>
      <c r="F143" s="667">
        <v>55</v>
      </c>
      <c r="G143" s="974" t="s">
        <v>754</v>
      </c>
      <c r="H143" s="955" t="s">
        <v>754</v>
      </c>
    </row>
    <row r="144" spans="1:8" ht="17.25" thickBot="1">
      <c r="A144" s="951" t="s">
        <v>821</v>
      </c>
      <c r="B144" s="952" t="s">
        <v>822</v>
      </c>
      <c r="C144" s="956">
        <f>'Расчет кормов 1оч'!J152*0.25</f>
        <v>341</v>
      </c>
      <c r="D144" s="954">
        <f>'Расет кормов расчср'!J152*0.25</f>
        <v>341</v>
      </c>
      <c r="E144" s="667">
        <v>120</v>
      </c>
      <c r="F144" s="667">
        <v>125</v>
      </c>
      <c r="G144" s="954">
        <f>C144/E144</f>
        <v>2.8416666666666668</v>
      </c>
      <c r="H144" s="955">
        <f>D144/F144</f>
        <v>2.7280000000000002</v>
      </c>
    </row>
    <row r="145" spans="1:8" ht="17.25" thickBot="1">
      <c r="A145" s="951" t="s">
        <v>784</v>
      </c>
      <c r="B145" s="952" t="s">
        <v>771</v>
      </c>
      <c r="C145" s="957">
        <f>'Расчет кормов 1оч'!J153</f>
        <v>132</v>
      </c>
      <c r="D145" s="958">
        <f>'Расет кормов расчср'!J153</f>
        <v>132</v>
      </c>
      <c r="E145" s="959" t="s">
        <v>754</v>
      </c>
      <c r="F145" s="959" t="s">
        <v>754</v>
      </c>
      <c r="G145" s="958" t="s">
        <v>754</v>
      </c>
      <c r="H145" s="960" t="s">
        <v>754</v>
      </c>
    </row>
    <row r="146" spans="1:8" ht="17.25" thickBot="1">
      <c r="A146" s="961"/>
      <c r="B146" s="962" t="s">
        <v>823</v>
      </c>
      <c r="C146" s="963" t="s">
        <v>754</v>
      </c>
      <c r="D146" s="964" t="s">
        <v>754</v>
      </c>
      <c r="E146" s="965" t="s">
        <v>754</v>
      </c>
      <c r="F146" s="965" t="s">
        <v>754</v>
      </c>
      <c r="G146" s="964">
        <f>G139+G141+G142+G144</f>
        <v>10.557380952380953</v>
      </c>
      <c r="H146" s="964">
        <f>H139+H141+H142+H144</f>
        <v>9.6422857142857143</v>
      </c>
    </row>
    <row r="147" spans="1:8" ht="15.75" thickBot="1">
      <c r="A147" s="1439" t="s">
        <v>801</v>
      </c>
      <c r="B147" s="1439"/>
      <c r="C147" s="1439"/>
      <c r="D147" s="1439"/>
      <c r="E147" s="1439"/>
      <c r="F147" s="1439"/>
      <c r="G147" s="1439"/>
      <c r="H147" s="1439"/>
    </row>
    <row r="148" spans="1:8" ht="17.25" thickBot="1">
      <c r="A148" s="945" t="s">
        <v>774</v>
      </c>
      <c r="B148" s="946" t="s">
        <v>814</v>
      </c>
      <c r="C148" s="947">
        <f>'Расчет кормов 1оч'!J157*0.75</f>
        <v>1039.5</v>
      </c>
      <c r="D148" s="948">
        <f>'Расет кормов расчср'!J157*0.75</f>
        <v>1178.1000000000001</v>
      </c>
      <c r="E148" s="949">
        <v>10</v>
      </c>
      <c r="F148" s="949">
        <v>10</v>
      </c>
      <c r="G148" s="949" t="s">
        <v>754</v>
      </c>
      <c r="H148" s="950" t="s">
        <v>754</v>
      </c>
    </row>
    <row r="149" spans="1:8" ht="17.25" thickBot="1">
      <c r="A149" s="951" t="s">
        <v>815</v>
      </c>
      <c r="B149" s="952" t="s">
        <v>816</v>
      </c>
      <c r="C149" s="953">
        <f>'Расчет кормов 1оч'!J157*0.25</f>
        <v>346.5</v>
      </c>
      <c r="D149" s="954">
        <f>'Расет кормов расчср'!J157*0.25</f>
        <v>392.70000000000005</v>
      </c>
      <c r="E149" s="667">
        <v>28</v>
      </c>
      <c r="F149" s="667">
        <v>31</v>
      </c>
      <c r="G149" s="954">
        <f>C149/E149</f>
        <v>12.375</v>
      </c>
      <c r="H149" s="955">
        <f>D149/F149</f>
        <v>12.667741935483873</v>
      </c>
    </row>
    <row r="150" spans="1:8" ht="17.25" thickBot="1">
      <c r="A150" s="951" t="s">
        <v>776</v>
      </c>
      <c r="B150" s="952" t="s">
        <v>817</v>
      </c>
      <c r="C150" s="956">
        <f>'Расчет кормов 1оч'!J158</f>
        <v>693</v>
      </c>
      <c r="D150" s="954">
        <f>'Расет кормов расчср'!J158</f>
        <v>785.40000000000009</v>
      </c>
      <c r="E150" s="667" t="s">
        <v>754</v>
      </c>
      <c r="F150" s="667" t="s">
        <v>754</v>
      </c>
      <c r="G150" s="954" t="s">
        <v>754</v>
      </c>
      <c r="H150" s="955" t="s">
        <v>754</v>
      </c>
    </row>
    <row r="151" spans="1:8" ht="17.25" thickBot="1">
      <c r="A151" s="951" t="s">
        <v>778</v>
      </c>
      <c r="B151" s="952" t="s">
        <v>818</v>
      </c>
      <c r="C151" s="956">
        <f>'Расчет кормов 1оч'!J159</f>
        <v>9900</v>
      </c>
      <c r="D151" s="954">
        <f>'Расет кормов расчср'!J159</f>
        <v>11220</v>
      </c>
      <c r="E151" s="667">
        <v>250</v>
      </c>
      <c r="F151" s="667">
        <v>280</v>
      </c>
      <c r="G151" s="954">
        <f>C151/E151</f>
        <v>39.6</v>
      </c>
      <c r="H151" s="955">
        <f>D151/F151</f>
        <v>40.071428571428569</v>
      </c>
    </row>
    <row r="152" spans="1:8" ht="17.25" thickBot="1">
      <c r="A152" s="951" t="s">
        <v>780</v>
      </c>
      <c r="B152" s="952" t="s">
        <v>819</v>
      </c>
      <c r="C152" s="956">
        <f>'Расчет кормов 1оч'!J160</f>
        <v>1650.0000000000002</v>
      </c>
      <c r="D152" s="954">
        <f>'Расет кормов расчср'!J160</f>
        <v>1870.0000000000002</v>
      </c>
      <c r="E152" s="667">
        <v>280</v>
      </c>
      <c r="F152" s="667">
        <v>310</v>
      </c>
      <c r="G152" s="954">
        <f>C152/E152</f>
        <v>5.8928571428571432</v>
      </c>
      <c r="H152" s="955">
        <f>D152/F152</f>
        <v>6.0322580645161299</v>
      </c>
    </row>
    <row r="153" spans="1:8" ht="17.25" thickBot="1">
      <c r="A153" s="951" t="s">
        <v>782</v>
      </c>
      <c r="B153" s="952" t="s">
        <v>820</v>
      </c>
      <c r="C153" s="956">
        <f>'Расчет кормов 1оч'!J161*0.75</f>
        <v>7672.5</v>
      </c>
      <c r="D153" s="954">
        <f>'Расет кормов расчср'!J161*0.75</f>
        <v>8695.5000000000018</v>
      </c>
      <c r="E153" s="667">
        <v>50</v>
      </c>
      <c r="F153" s="667">
        <v>55</v>
      </c>
      <c r="G153" s="974" t="s">
        <v>754</v>
      </c>
      <c r="H153" s="955" t="s">
        <v>754</v>
      </c>
    </row>
    <row r="154" spans="1:8" ht="17.25" thickBot="1">
      <c r="A154" s="951" t="s">
        <v>821</v>
      </c>
      <c r="B154" s="952" t="s">
        <v>822</v>
      </c>
      <c r="C154" s="956">
        <f>'Расчет кормов 1оч'!J161*0.25</f>
        <v>2557.5</v>
      </c>
      <c r="D154" s="954">
        <f>'Расет кормов расчср'!J161*0.25</f>
        <v>2898.5000000000005</v>
      </c>
      <c r="E154" s="667">
        <v>120</v>
      </c>
      <c r="F154" s="667">
        <v>125</v>
      </c>
      <c r="G154" s="954">
        <f>C154/E154</f>
        <v>21.3125</v>
      </c>
      <c r="H154" s="955">
        <f>D154/F154</f>
        <v>23.188000000000002</v>
      </c>
    </row>
    <row r="155" spans="1:8" ht="17.25" thickBot="1">
      <c r="A155" s="951" t="s">
        <v>784</v>
      </c>
      <c r="B155" s="952" t="s">
        <v>771</v>
      </c>
      <c r="C155" s="979">
        <f>'Расчет кормов 1оч'!J162</f>
        <v>990.00000000000011</v>
      </c>
      <c r="D155" s="958">
        <f>'Расет кормов расчср'!J162</f>
        <v>1122</v>
      </c>
      <c r="E155" s="959" t="s">
        <v>754</v>
      </c>
      <c r="F155" s="959" t="s">
        <v>754</v>
      </c>
      <c r="G155" s="958" t="s">
        <v>754</v>
      </c>
      <c r="H155" s="960" t="s">
        <v>754</v>
      </c>
    </row>
    <row r="156" spans="1:8" ht="17.25" thickBot="1">
      <c r="A156" s="961"/>
      <c r="B156" s="962" t="s">
        <v>823</v>
      </c>
      <c r="C156" s="963" t="s">
        <v>754</v>
      </c>
      <c r="D156" s="964" t="s">
        <v>754</v>
      </c>
      <c r="E156" s="965" t="s">
        <v>754</v>
      </c>
      <c r="F156" s="965" t="s">
        <v>754</v>
      </c>
      <c r="G156" s="964">
        <f>G149+G151+G152+G154</f>
        <v>79.180357142857147</v>
      </c>
      <c r="H156" s="964">
        <f>H149+H151+H152+H154</f>
        <v>81.959428571428575</v>
      </c>
    </row>
    <row r="157" spans="1:8" ht="15.75" thickBot="1">
      <c r="A157" s="1439" t="s">
        <v>802</v>
      </c>
      <c r="B157" s="1439"/>
      <c r="C157" s="1439"/>
      <c r="D157" s="1439"/>
      <c r="E157" s="1439"/>
      <c r="F157" s="1439"/>
      <c r="G157" s="1439"/>
      <c r="H157" s="1439"/>
    </row>
    <row r="158" spans="1:8" ht="15.75" thickBot="1">
      <c r="A158" s="975">
        <v>1</v>
      </c>
      <c r="B158" s="962" t="s">
        <v>827</v>
      </c>
      <c r="C158" s="968">
        <f>'Расчет кормов 1оч'!J166</f>
        <v>46.2</v>
      </c>
      <c r="D158" s="969">
        <f>'Расет кормов расчср'!J166</f>
        <v>46.2</v>
      </c>
      <c r="E158" s="969">
        <v>28</v>
      </c>
      <c r="F158" s="976">
        <v>31</v>
      </c>
      <c r="G158" s="969">
        <f>C158/E158</f>
        <v>1.6500000000000001</v>
      </c>
      <c r="H158" s="969">
        <f>D158/F158</f>
        <v>1.4903225806451614</v>
      </c>
    </row>
    <row r="159" spans="1:8" ht="15.75" thickBot="1">
      <c r="A159" s="975">
        <v>2</v>
      </c>
      <c r="B159" s="977" t="s">
        <v>817</v>
      </c>
      <c r="C159" s="968">
        <f>'Расчет кормов 1оч'!J167</f>
        <v>115.50000000000001</v>
      </c>
      <c r="D159" s="969">
        <f>'Расет кормов расчср'!J167</f>
        <v>115.50000000000001</v>
      </c>
      <c r="E159" s="964" t="s">
        <v>754</v>
      </c>
      <c r="F159" s="978" t="s">
        <v>754</v>
      </c>
      <c r="G159" s="969" t="s">
        <v>754</v>
      </c>
      <c r="H159" s="964" t="s">
        <v>754</v>
      </c>
    </row>
    <row r="160" spans="1:8" ht="15.75" thickBot="1">
      <c r="A160" s="975">
        <v>3</v>
      </c>
      <c r="B160" s="977" t="s">
        <v>818</v>
      </c>
      <c r="C160" s="968">
        <f>'Расчет кормов 1оч'!J168</f>
        <v>184.8</v>
      </c>
      <c r="D160" s="969">
        <f>'Расет кормов расчср'!J168</f>
        <v>184.8</v>
      </c>
      <c r="E160" s="964">
        <v>250</v>
      </c>
      <c r="F160" s="978">
        <v>280</v>
      </c>
      <c r="G160" s="969">
        <f>C160/E160</f>
        <v>0.73920000000000008</v>
      </c>
      <c r="H160" s="969">
        <f>D160/F160</f>
        <v>0.66</v>
      </c>
    </row>
    <row r="161" spans="1:8" ht="15.75" thickBot="1">
      <c r="A161" s="975">
        <v>4</v>
      </c>
      <c r="B161" s="977" t="s">
        <v>819</v>
      </c>
      <c r="C161" s="968">
        <f>'Расчет кормов 1оч'!J169</f>
        <v>88</v>
      </c>
      <c r="D161" s="969">
        <f>'Расет кормов расчср'!J169</f>
        <v>88</v>
      </c>
      <c r="E161" s="964">
        <v>280</v>
      </c>
      <c r="F161" s="978">
        <v>310</v>
      </c>
      <c r="G161" s="969">
        <f>C161/E161</f>
        <v>0.31428571428571428</v>
      </c>
      <c r="H161" s="969">
        <f>D161/F161</f>
        <v>0.28387096774193549</v>
      </c>
    </row>
    <row r="162" spans="1:8" ht="15.75" thickBot="1">
      <c r="A162" s="975">
        <v>5</v>
      </c>
      <c r="B162" s="977" t="s">
        <v>820</v>
      </c>
      <c r="C162" s="968">
        <f>'Расчет кормов 1оч'!J170</f>
        <v>298.375</v>
      </c>
      <c r="D162" s="969">
        <f>'Расет кормов расчср'!J170</f>
        <v>298.375</v>
      </c>
      <c r="E162" s="964">
        <v>50</v>
      </c>
      <c r="F162" s="978">
        <v>55</v>
      </c>
      <c r="G162" s="964" t="s">
        <v>754</v>
      </c>
      <c r="H162" s="964" t="s">
        <v>754</v>
      </c>
    </row>
    <row r="163" spans="1:8" ht="15.75" thickBot="1">
      <c r="A163" s="975">
        <v>6</v>
      </c>
      <c r="B163" s="977" t="s">
        <v>771</v>
      </c>
      <c r="C163" s="968">
        <f>'Расчет кормов 1оч'!J171</f>
        <v>110.41250000000001</v>
      </c>
      <c r="D163" s="969">
        <f>'Расет кормов расчср'!J171</f>
        <v>110.41250000000001</v>
      </c>
      <c r="E163" s="964" t="s">
        <v>754</v>
      </c>
      <c r="F163" s="978" t="s">
        <v>754</v>
      </c>
      <c r="G163" s="964" t="s">
        <v>754</v>
      </c>
      <c r="H163" s="964" t="s">
        <v>754</v>
      </c>
    </row>
    <row r="164" spans="1:8" ht="15.75" thickBot="1">
      <c r="A164" s="961"/>
      <c r="B164" s="962" t="s">
        <v>823</v>
      </c>
      <c r="C164" s="963" t="s">
        <v>754</v>
      </c>
      <c r="D164" s="964" t="s">
        <v>754</v>
      </c>
      <c r="E164" s="964" t="s">
        <v>754</v>
      </c>
      <c r="F164" s="978" t="s">
        <v>754</v>
      </c>
      <c r="G164" s="964">
        <f>G158+G160+G161</f>
        <v>2.7034857142857147</v>
      </c>
      <c r="H164" s="964">
        <f>H158+H160+H161</f>
        <v>2.4341935483870967</v>
      </c>
    </row>
    <row r="165" spans="1:8" ht="15.75" thickBot="1">
      <c r="A165" s="1439" t="s">
        <v>803</v>
      </c>
      <c r="B165" s="1439"/>
      <c r="C165" s="1439"/>
      <c r="D165" s="1439"/>
      <c r="E165" s="1439"/>
      <c r="F165" s="1439"/>
      <c r="G165" s="1439"/>
      <c r="H165" s="1439"/>
    </row>
    <row r="166" spans="1:8" ht="17.25" thickBot="1">
      <c r="A166" s="966" t="s">
        <v>774</v>
      </c>
      <c r="B166" s="967" t="s">
        <v>775</v>
      </c>
      <c r="C166" s="968">
        <f>'Расчет кормов 1оч'!J176</f>
        <v>421.57500000000005</v>
      </c>
      <c r="D166" s="969">
        <f>'Расет кормов расчср'!J176</f>
        <v>481.8</v>
      </c>
      <c r="E166" s="970">
        <v>16</v>
      </c>
      <c r="F166" s="970">
        <v>16</v>
      </c>
      <c r="G166" s="969">
        <f>C166/E166</f>
        <v>26.348437500000003</v>
      </c>
      <c r="H166" s="969">
        <f>D166/F166</f>
        <v>30.112500000000001</v>
      </c>
    </row>
    <row r="167" spans="1:8" ht="17.25" thickBot="1">
      <c r="A167" s="971" t="s">
        <v>776</v>
      </c>
      <c r="B167" s="972" t="s">
        <v>777</v>
      </c>
      <c r="C167" s="968">
        <f>'Расчет кормов 1оч'!J177</f>
        <v>140.52500000000001</v>
      </c>
      <c r="D167" s="969">
        <f>'Расет кормов расчср'!J177</f>
        <v>160.60000000000002</v>
      </c>
      <c r="E167" s="973"/>
      <c r="F167" s="973"/>
      <c r="G167" s="969" t="s">
        <v>754</v>
      </c>
      <c r="H167" s="969" t="s">
        <v>754</v>
      </c>
    </row>
    <row r="168" spans="1:8" ht="17.25" thickBot="1">
      <c r="A168" s="971" t="s">
        <v>778</v>
      </c>
      <c r="B168" s="972" t="s">
        <v>824</v>
      </c>
      <c r="C168" s="968">
        <f>'Расчет кормов 1оч'!J178</f>
        <v>112.42000000000002</v>
      </c>
      <c r="D168" s="969">
        <f>'Расет кормов расчср'!J178</f>
        <v>128.48000000000002</v>
      </c>
      <c r="E168" s="973"/>
      <c r="F168" s="973"/>
      <c r="G168" s="969" t="s">
        <v>754</v>
      </c>
      <c r="H168" s="969" t="s">
        <v>754</v>
      </c>
    </row>
    <row r="169" spans="1:8" ht="17.25" thickBot="1">
      <c r="A169" s="971" t="s">
        <v>780</v>
      </c>
      <c r="B169" s="972" t="s">
        <v>825</v>
      </c>
      <c r="C169" s="968">
        <f>'Расчет кормов 1оч'!J179</f>
        <v>56.210000000000008</v>
      </c>
      <c r="D169" s="969">
        <f>'Расет кормов расчср'!J179</f>
        <v>64.240000000000009</v>
      </c>
      <c r="E169" s="965">
        <v>13</v>
      </c>
      <c r="F169" s="965">
        <v>13</v>
      </c>
      <c r="G169" s="969">
        <f t="shared" ref="G169:G171" si="7">C169/E169</f>
        <v>4.3238461538461541</v>
      </c>
      <c r="H169" s="969">
        <f t="shared" ref="H169:H171" si="8">D169/F169</f>
        <v>4.9415384615384621</v>
      </c>
    </row>
    <row r="170" spans="1:8" ht="17.25" thickBot="1">
      <c r="A170" s="971" t="s">
        <v>782</v>
      </c>
      <c r="B170" s="972" t="s">
        <v>769</v>
      </c>
      <c r="C170" s="968">
        <f>'Расчет кормов 1оч'!J180</f>
        <v>1405.25</v>
      </c>
      <c r="D170" s="969">
        <f>'Расет кормов расчср'!J180</f>
        <v>1606.0000000000002</v>
      </c>
      <c r="E170" s="965">
        <v>250</v>
      </c>
      <c r="F170" s="965">
        <v>250</v>
      </c>
      <c r="G170" s="969">
        <f t="shared" si="7"/>
        <v>5.6210000000000004</v>
      </c>
      <c r="H170" s="969">
        <f t="shared" si="8"/>
        <v>6.4240000000000013</v>
      </c>
    </row>
    <row r="171" spans="1:8" ht="17.25" thickBot="1">
      <c r="A171" s="971" t="s">
        <v>784</v>
      </c>
      <c r="B171" s="972" t="s">
        <v>826</v>
      </c>
      <c r="C171" s="968">
        <f>'Расчет кормов 1оч'!J181</f>
        <v>140.52500000000001</v>
      </c>
      <c r="D171" s="969">
        <f>'Расет кормов расчср'!J181</f>
        <v>160.60000000000002</v>
      </c>
      <c r="E171" s="965">
        <v>95</v>
      </c>
      <c r="F171" s="965">
        <v>95</v>
      </c>
      <c r="G171" s="969">
        <f t="shared" si="7"/>
        <v>1.4792105263157895</v>
      </c>
      <c r="H171" s="969">
        <f t="shared" si="8"/>
        <v>1.6905263157894739</v>
      </c>
    </row>
    <row r="172" spans="1:8" ht="17.25" thickBot="1">
      <c r="A172" s="961"/>
      <c r="B172" s="962" t="s">
        <v>823</v>
      </c>
      <c r="C172" s="963" t="s">
        <v>754</v>
      </c>
      <c r="D172" s="964" t="s">
        <v>754</v>
      </c>
      <c r="E172" s="965" t="s">
        <v>754</v>
      </c>
      <c r="F172" s="965" t="s">
        <v>754</v>
      </c>
      <c r="G172" s="964">
        <f>G166+G169+G170+G171</f>
        <v>37.772494180161949</v>
      </c>
      <c r="H172" s="964">
        <f>H166+H169+H170+H171</f>
        <v>43.168564777327937</v>
      </c>
    </row>
    <row r="173" spans="1:8" ht="15.75" thickBot="1">
      <c r="A173" s="1439" t="s">
        <v>804</v>
      </c>
      <c r="B173" s="1439"/>
      <c r="C173" s="1439"/>
      <c r="D173" s="1439"/>
      <c r="E173" s="1439"/>
      <c r="F173" s="1439"/>
      <c r="G173" s="1439"/>
      <c r="H173" s="1439"/>
    </row>
    <row r="174" spans="1:8" ht="17.25" thickBot="1">
      <c r="A174" s="945" t="s">
        <v>774</v>
      </c>
      <c r="B174" s="946" t="s">
        <v>814</v>
      </c>
      <c r="C174" s="947">
        <f>'Расчет кормов 1оч'!J185*0.75</f>
        <v>1732.5</v>
      </c>
      <c r="D174" s="948">
        <f>'Расет кормов расчср'!J185*0.75</f>
        <v>1386.0000000000002</v>
      </c>
      <c r="E174" s="949">
        <v>10</v>
      </c>
      <c r="F174" s="949">
        <v>10</v>
      </c>
      <c r="G174" s="949" t="s">
        <v>754</v>
      </c>
      <c r="H174" s="950" t="s">
        <v>754</v>
      </c>
    </row>
    <row r="175" spans="1:8" ht="17.25" thickBot="1">
      <c r="A175" s="951" t="s">
        <v>815</v>
      </c>
      <c r="B175" s="952" t="s">
        <v>816</v>
      </c>
      <c r="C175" s="953">
        <f>'Расчет кормов 1оч'!J185*0.25</f>
        <v>577.5</v>
      </c>
      <c r="D175" s="954">
        <f>'Расет кормов расчср'!J185*0.25</f>
        <v>462.00000000000006</v>
      </c>
      <c r="E175" s="667">
        <v>28</v>
      </c>
      <c r="F175" s="667">
        <v>31</v>
      </c>
      <c r="G175" s="954">
        <f>C175/E175</f>
        <v>20.625</v>
      </c>
      <c r="H175" s="955">
        <f>D175/F175</f>
        <v>14.903225806451614</v>
      </c>
    </row>
    <row r="176" spans="1:8" ht="17.25" thickBot="1">
      <c r="A176" s="951" t="s">
        <v>776</v>
      </c>
      <c r="B176" s="952" t="s">
        <v>817</v>
      </c>
      <c r="C176" s="956">
        <f>'Расчет кормов 1оч'!J186</f>
        <v>1155</v>
      </c>
      <c r="D176" s="954">
        <f>'Расет кормов расчср'!J186</f>
        <v>924.00000000000011</v>
      </c>
      <c r="E176" s="667" t="s">
        <v>754</v>
      </c>
      <c r="F176" s="667" t="s">
        <v>754</v>
      </c>
      <c r="G176" s="954" t="s">
        <v>754</v>
      </c>
      <c r="H176" s="955" t="s">
        <v>754</v>
      </c>
    </row>
    <row r="177" spans="1:8" ht="17.25" thickBot="1">
      <c r="A177" s="951" t="s">
        <v>778</v>
      </c>
      <c r="B177" s="952" t="s">
        <v>818</v>
      </c>
      <c r="C177" s="956">
        <f>'Расчет кормов 1оч'!J187</f>
        <v>16500</v>
      </c>
      <c r="D177" s="954">
        <f>'Расет кормов расчср'!J187</f>
        <v>13200.000000000002</v>
      </c>
      <c r="E177" s="667">
        <v>250</v>
      </c>
      <c r="F177" s="667">
        <v>280</v>
      </c>
      <c r="G177" s="954">
        <f>C177/E177</f>
        <v>66</v>
      </c>
      <c r="H177" s="955">
        <f>D177/F177</f>
        <v>47.142857142857146</v>
      </c>
    </row>
    <row r="178" spans="1:8" ht="17.25" thickBot="1">
      <c r="A178" s="951" t="s">
        <v>780</v>
      </c>
      <c r="B178" s="952" t="s">
        <v>819</v>
      </c>
      <c r="C178" s="956">
        <f>'Расчет кормов 1оч'!J188</f>
        <v>2750</v>
      </c>
      <c r="D178" s="954">
        <f>'Расет кормов расчср'!J188</f>
        <v>2200</v>
      </c>
      <c r="E178" s="667">
        <v>280</v>
      </c>
      <c r="F178" s="667">
        <v>310</v>
      </c>
      <c r="G178" s="954">
        <f>C178/E178</f>
        <v>9.8214285714285712</v>
      </c>
      <c r="H178" s="955">
        <f>D178/F178</f>
        <v>7.096774193548387</v>
      </c>
    </row>
    <row r="179" spans="1:8" ht="17.25" thickBot="1">
      <c r="A179" s="951" t="s">
        <v>782</v>
      </c>
      <c r="B179" s="952" t="s">
        <v>820</v>
      </c>
      <c r="C179" s="956">
        <f>'Расчет кормов 1оч'!J189*0.75</f>
        <v>12787.5</v>
      </c>
      <c r="D179" s="954">
        <f>'Расет кормов расчср'!J189*0.75</f>
        <v>10230.000000000002</v>
      </c>
      <c r="E179" s="667">
        <v>50</v>
      </c>
      <c r="F179" s="667">
        <v>55</v>
      </c>
      <c r="G179" s="974" t="s">
        <v>754</v>
      </c>
      <c r="H179" s="955" t="s">
        <v>754</v>
      </c>
    </row>
    <row r="180" spans="1:8" ht="17.25" thickBot="1">
      <c r="A180" s="951" t="s">
        <v>821</v>
      </c>
      <c r="B180" s="952" t="s">
        <v>822</v>
      </c>
      <c r="C180" s="956">
        <f>'Расчет кормов 1оч'!J189*0.25</f>
        <v>4262.5</v>
      </c>
      <c r="D180" s="954">
        <f>'Расет кормов расчср'!J189*0.25</f>
        <v>3410.0000000000005</v>
      </c>
      <c r="E180" s="667">
        <v>120</v>
      </c>
      <c r="F180" s="667">
        <v>125</v>
      </c>
      <c r="G180" s="954">
        <f>C180/E180</f>
        <v>35.520833333333336</v>
      </c>
      <c r="H180" s="955">
        <f>D180/F180</f>
        <v>27.280000000000005</v>
      </c>
    </row>
    <row r="181" spans="1:8" ht="17.25" thickBot="1">
      <c r="A181" s="951" t="s">
        <v>784</v>
      </c>
      <c r="B181" s="952" t="s">
        <v>771</v>
      </c>
      <c r="C181" s="957">
        <f>'Расчет кормов 1оч'!J190</f>
        <v>1650.0000000000002</v>
      </c>
      <c r="D181" s="958">
        <f>'Расет кормов расчср'!J190</f>
        <v>1320</v>
      </c>
      <c r="E181" s="959" t="s">
        <v>754</v>
      </c>
      <c r="F181" s="959" t="s">
        <v>754</v>
      </c>
      <c r="G181" s="958" t="s">
        <v>754</v>
      </c>
      <c r="H181" s="960" t="s">
        <v>754</v>
      </c>
    </row>
    <row r="182" spans="1:8" ht="17.25" thickBot="1">
      <c r="A182" s="961"/>
      <c r="B182" s="962" t="s">
        <v>823</v>
      </c>
      <c r="C182" s="963" t="s">
        <v>754</v>
      </c>
      <c r="D182" s="964" t="s">
        <v>754</v>
      </c>
      <c r="E182" s="965" t="s">
        <v>754</v>
      </c>
      <c r="F182" s="965" t="s">
        <v>754</v>
      </c>
      <c r="G182" s="964">
        <f>G175+G177+G178+G180</f>
        <v>131.9672619047619</v>
      </c>
      <c r="H182" s="964">
        <f>H175+H177+H178+H180</f>
        <v>96.422857142857154</v>
      </c>
    </row>
    <row r="183" spans="1:8" ht="15.75" thickBot="1">
      <c r="A183" s="1439" t="s">
        <v>805</v>
      </c>
      <c r="B183" s="1439"/>
      <c r="C183" s="1439"/>
      <c r="D183" s="1439"/>
      <c r="E183" s="1439"/>
      <c r="F183" s="1439"/>
      <c r="G183" s="1439"/>
      <c r="H183" s="1439"/>
    </row>
    <row r="184" spans="1:8" ht="15.75" thickBot="1">
      <c r="A184" s="975">
        <v>1</v>
      </c>
      <c r="B184" s="962" t="s">
        <v>827</v>
      </c>
      <c r="C184" s="968">
        <f>'Расчет кормов 1оч'!J194</f>
        <v>231.00000000000003</v>
      </c>
      <c r="D184" s="969">
        <f>'Расет кормов расчср'!J194</f>
        <v>231.00000000000003</v>
      </c>
      <c r="E184" s="969">
        <v>28</v>
      </c>
      <c r="F184" s="976">
        <v>31</v>
      </c>
      <c r="G184" s="969">
        <f>C184/E184</f>
        <v>8.2500000000000018</v>
      </c>
      <c r="H184" s="969">
        <f>D184/F184</f>
        <v>7.4516129032258069</v>
      </c>
    </row>
    <row r="185" spans="1:8" ht="15.75" thickBot="1">
      <c r="A185" s="975">
        <v>2</v>
      </c>
      <c r="B185" s="977" t="s">
        <v>817</v>
      </c>
      <c r="C185" s="968">
        <f>'Расчет кормов 1оч'!J195</f>
        <v>577.5</v>
      </c>
      <c r="D185" s="969">
        <f>'Расет кормов расчср'!J195</f>
        <v>577.5</v>
      </c>
      <c r="E185" s="964" t="s">
        <v>754</v>
      </c>
      <c r="F185" s="978" t="s">
        <v>754</v>
      </c>
      <c r="G185" s="969" t="s">
        <v>754</v>
      </c>
      <c r="H185" s="964" t="s">
        <v>754</v>
      </c>
    </row>
    <row r="186" spans="1:8" ht="15.75" thickBot="1">
      <c r="A186" s="975">
        <v>3</v>
      </c>
      <c r="B186" s="977" t="s">
        <v>818</v>
      </c>
      <c r="C186" s="968">
        <f>'Расчет кормов 1оч'!J196</f>
        <v>924.00000000000011</v>
      </c>
      <c r="D186" s="969">
        <f>'Расет кормов расчср'!J196</f>
        <v>924.00000000000011</v>
      </c>
      <c r="E186" s="964">
        <v>250</v>
      </c>
      <c r="F186" s="978">
        <v>280</v>
      </c>
      <c r="G186" s="969">
        <f>C186/E186</f>
        <v>3.6960000000000006</v>
      </c>
      <c r="H186" s="969">
        <f>D186/F186</f>
        <v>3.3000000000000003</v>
      </c>
    </row>
    <row r="187" spans="1:8" ht="15.75" thickBot="1">
      <c r="A187" s="975">
        <v>4</v>
      </c>
      <c r="B187" s="977" t="s">
        <v>819</v>
      </c>
      <c r="C187" s="968">
        <f>'Расчет кормов 1оч'!J197</f>
        <v>440.00000000000006</v>
      </c>
      <c r="D187" s="969">
        <f>'Расет кормов расчср'!J197</f>
        <v>440.00000000000006</v>
      </c>
      <c r="E187" s="964">
        <v>280</v>
      </c>
      <c r="F187" s="978">
        <v>310</v>
      </c>
      <c r="G187" s="969">
        <f>C187/E187</f>
        <v>1.5714285714285716</v>
      </c>
      <c r="H187" s="969">
        <f>D187/F187</f>
        <v>1.4193548387096777</v>
      </c>
    </row>
    <row r="188" spans="1:8" ht="15.75" thickBot="1">
      <c r="A188" s="975">
        <v>5</v>
      </c>
      <c r="B188" s="977" t="s">
        <v>820</v>
      </c>
      <c r="C188" s="968">
        <f>'Расчет кормов 1оч'!J198</f>
        <v>1491.8750000000002</v>
      </c>
      <c r="D188" s="969">
        <f>'Расет кормов расчср'!J198</f>
        <v>1491.8750000000002</v>
      </c>
      <c r="E188" s="964">
        <v>50</v>
      </c>
      <c r="F188" s="978">
        <v>55</v>
      </c>
      <c r="G188" s="964" t="s">
        <v>754</v>
      </c>
      <c r="H188" s="964" t="s">
        <v>754</v>
      </c>
    </row>
    <row r="189" spans="1:8" ht="15.75" thickBot="1">
      <c r="A189" s="975">
        <v>6</v>
      </c>
      <c r="B189" s="977" t="s">
        <v>771</v>
      </c>
      <c r="C189" s="968">
        <f>'Расчет кормов 1оч'!J199</f>
        <v>552.0625</v>
      </c>
      <c r="D189" s="969">
        <f>'Расет кормов расчср'!J199</f>
        <v>552.0625</v>
      </c>
      <c r="E189" s="964" t="s">
        <v>754</v>
      </c>
      <c r="F189" s="978" t="s">
        <v>754</v>
      </c>
      <c r="G189" s="964" t="s">
        <v>754</v>
      </c>
      <c r="H189" s="964" t="s">
        <v>754</v>
      </c>
    </row>
    <row r="190" spans="1:8" ht="15.75" thickBot="1">
      <c r="A190" s="961"/>
      <c r="B190" s="962" t="s">
        <v>823</v>
      </c>
      <c r="C190" s="963" t="s">
        <v>754</v>
      </c>
      <c r="D190" s="964" t="s">
        <v>754</v>
      </c>
      <c r="E190" s="964" t="s">
        <v>754</v>
      </c>
      <c r="F190" s="978" t="s">
        <v>754</v>
      </c>
      <c r="G190" s="964">
        <f>G184+G186+G187</f>
        <v>13.517428571428573</v>
      </c>
      <c r="H190" s="964">
        <f>H184+H186+H187</f>
        <v>12.170967741935485</v>
      </c>
    </row>
    <row r="191" spans="1:8">
      <c r="A191" s="980"/>
      <c r="B191" s="981"/>
      <c r="C191" s="982"/>
      <c r="D191" s="982"/>
      <c r="E191" s="982"/>
      <c r="F191" s="983"/>
      <c r="G191" s="982"/>
      <c r="H191" s="982"/>
    </row>
    <row r="192" spans="1:8">
      <c r="A192" s="980"/>
      <c r="B192" s="981"/>
      <c r="C192" s="982"/>
      <c r="D192" s="982"/>
      <c r="E192" s="982"/>
      <c r="F192" s="983"/>
      <c r="G192" s="982"/>
      <c r="H192" s="982"/>
    </row>
    <row r="193" spans="1:8">
      <c r="A193" s="980"/>
      <c r="B193" s="981"/>
      <c r="C193" s="982"/>
      <c r="D193" s="982"/>
      <c r="E193" s="982"/>
      <c r="F193" s="983"/>
      <c r="G193" s="982"/>
      <c r="H193" s="982"/>
    </row>
    <row r="194" spans="1:8" ht="15.75" thickBot="1">
      <c r="B194" s="984"/>
      <c r="C194" s="984" t="s">
        <v>812</v>
      </c>
      <c r="D194" s="984" t="s">
        <v>847</v>
      </c>
    </row>
    <row r="195" spans="1:8" ht="16.5">
      <c r="B195" s="985" t="s">
        <v>830</v>
      </c>
      <c r="C195" s="1033">
        <f>G20+G38+G48+G74+G84+G110+G128+G146+G156+G182</f>
        <v>1522.9022023809528</v>
      </c>
      <c r="D195" s="1033">
        <f>H20+H38+H48+H74+H84+H110+H128+H146+H156+H182</f>
        <v>1718.7374285714286</v>
      </c>
    </row>
    <row r="196" spans="1:8" ht="16.5">
      <c r="B196" s="986" t="s">
        <v>831</v>
      </c>
      <c r="C196" s="1033">
        <f>G56+G92+G118+G136+G164+G190</f>
        <v>120.57546285714287</v>
      </c>
      <c r="D196" s="1033">
        <f>H56+H92+H118+H136+H164+H190</f>
        <v>116.35445161290325</v>
      </c>
    </row>
    <row r="197" spans="1:8" ht="16.5">
      <c r="B197" s="986" t="s">
        <v>832</v>
      </c>
      <c r="C197" s="1033">
        <f>G10+G28+G64+G100+G172</f>
        <v>67709.893853238871</v>
      </c>
      <c r="D197" s="1033">
        <f>H10+H28+H64+H100+H172</f>
        <v>67893.360253542516</v>
      </c>
    </row>
    <row r="198" spans="1:8" ht="15.75" thickBot="1">
      <c r="B198" s="987" t="s">
        <v>833</v>
      </c>
      <c r="C198" s="1033">
        <f>C195+C196+C197</f>
        <v>69353.371518476968</v>
      </c>
      <c r="D198" s="1033">
        <f>D195+D196+D197</f>
        <v>69728.452133726852</v>
      </c>
    </row>
  </sheetData>
  <mergeCells count="26">
    <mergeCell ref="A11:H11"/>
    <mergeCell ref="A1:A2"/>
    <mergeCell ref="B1:B2"/>
    <mergeCell ref="C1:D1"/>
    <mergeCell ref="E1:F1"/>
    <mergeCell ref="G1:H1"/>
    <mergeCell ref="A3:H3"/>
    <mergeCell ref="A111:H111"/>
    <mergeCell ref="A21:H21"/>
    <mergeCell ref="A29:H29"/>
    <mergeCell ref="A39:H39"/>
    <mergeCell ref="A49:H49"/>
    <mergeCell ref="A57:H57"/>
    <mergeCell ref="A65:H65"/>
    <mergeCell ref="A75:H75"/>
    <mergeCell ref="A85:H85"/>
    <mergeCell ref="A93:H93"/>
    <mergeCell ref="A101:H101"/>
    <mergeCell ref="A173:H173"/>
    <mergeCell ref="A183:H183"/>
    <mergeCell ref="A119:H119"/>
    <mergeCell ref="A129:H129"/>
    <mergeCell ref="A137:H137"/>
    <mergeCell ref="A147:H147"/>
    <mergeCell ref="A157:H157"/>
    <mergeCell ref="A165:H16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L39"/>
  <sheetViews>
    <sheetView workbookViewId="0">
      <selection activeCell="H18" sqref="H18"/>
    </sheetView>
  </sheetViews>
  <sheetFormatPr defaultRowHeight="15"/>
  <cols>
    <col min="1" max="1" width="5.140625" style="1017" customWidth="1"/>
    <col min="2" max="2" width="42.42578125" customWidth="1"/>
    <col min="7" max="38" width="9.140625" style="847"/>
  </cols>
  <sheetData>
    <row r="1" spans="1:38" ht="16.5" customHeight="1">
      <c r="A1" s="1451" t="s">
        <v>126</v>
      </c>
      <c r="B1" s="1376" t="s">
        <v>586</v>
      </c>
      <c r="C1" s="1450" t="s">
        <v>587</v>
      </c>
      <c r="D1" s="1450" t="s">
        <v>594</v>
      </c>
      <c r="E1" s="1450" t="s">
        <v>595</v>
      </c>
      <c r="F1" s="1450" t="s">
        <v>597</v>
      </c>
    </row>
    <row r="2" spans="1:38">
      <c r="A2" s="1451"/>
      <c r="B2" s="1376"/>
      <c r="C2" s="1450"/>
      <c r="D2" s="1450"/>
      <c r="E2" s="1450"/>
      <c r="F2" s="1450"/>
    </row>
    <row r="3" spans="1:38" s="1021" customFormat="1" ht="16.5">
      <c r="A3" s="1019"/>
      <c r="B3" s="1020" t="s">
        <v>547</v>
      </c>
      <c r="C3" s="1019"/>
      <c r="D3" s="1019"/>
      <c r="E3" s="1019"/>
      <c r="F3" s="1019"/>
      <c r="G3" s="847"/>
      <c r="H3" s="847"/>
      <c r="I3" s="847"/>
      <c r="J3" s="847"/>
      <c r="K3" s="847"/>
      <c r="L3" s="847"/>
      <c r="M3" s="847"/>
      <c r="N3" s="847"/>
      <c r="O3" s="847"/>
      <c r="P3" s="847"/>
      <c r="Q3" s="847"/>
      <c r="R3" s="847"/>
      <c r="S3" s="847"/>
      <c r="T3" s="847"/>
      <c r="U3" s="847"/>
      <c r="V3" s="847"/>
      <c r="W3" s="847"/>
      <c r="X3" s="847"/>
      <c r="Y3" s="847"/>
      <c r="Z3" s="847"/>
      <c r="AA3" s="847"/>
      <c r="AB3" s="847"/>
      <c r="AC3" s="847"/>
      <c r="AD3" s="847"/>
      <c r="AE3" s="847"/>
      <c r="AF3" s="847"/>
      <c r="AG3" s="847"/>
      <c r="AH3" s="847"/>
      <c r="AI3" s="847"/>
      <c r="AJ3" s="847"/>
      <c r="AK3" s="847"/>
      <c r="AL3" s="847"/>
    </row>
    <row r="4" spans="1:38" ht="16.5">
      <c r="A4" s="1004">
        <v>1</v>
      </c>
      <c r="B4" s="810" t="s">
        <v>628</v>
      </c>
      <c r="C4" s="808"/>
      <c r="D4" s="808"/>
      <c r="E4" s="808"/>
      <c r="F4" s="808"/>
    </row>
    <row r="5" spans="1:38" ht="16.5">
      <c r="A5" s="1004"/>
      <c r="B5" s="811" t="s">
        <v>858</v>
      </c>
      <c r="C5" s="808" t="s">
        <v>613</v>
      </c>
      <c r="D5" s="808">
        <v>300</v>
      </c>
      <c r="E5" s="1027">
        <f>ROUND(D5*1.15,0)</f>
        <v>345</v>
      </c>
      <c r="F5" s="1027">
        <f>ROUND(D5*1.3,0)</f>
        <v>390</v>
      </c>
    </row>
    <row r="6" spans="1:38" ht="16.5">
      <c r="A6" s="1004"/>
      <c r="B6" s="811" t="s">
        <v>614</v>
      </c>
      <c r="C6" s="808" t="s">
        <v>615</v>
      </c>
      <c r="D6" s="808">
        <f>D7/D5</f>
        <v>24.9</v>
      </c>
      <c r="E6" s="1028">
        <f>ROUND(D6*1.15,1)</f>
        <v>28.6</v>
      </c>
      <c r="F6" s="1028">
        <f>ROUND(D6*1.3,1)</f>
        <v>32.4</v>
      </c>
    </row>
    <row r="7" spans="1:38" ht="16.5">
      <c r="A7" s="1004"/>
      <c r="B7" s="811" t="s">
        <v>616</v>
      </c>
      <c r="C7" s="808" t="s">
        <v>617</v>
      </c>
      <c r="D7" s="1018">
        <v>7470</v>
      </c>
      <c r="E7" s="1029">
        <f>ROUND(E5*E6,0)</f>
        <v>9867</v>
      </c>
      <c r="F7" s="1029">
        <f>ROUND(F5*F6,0)</f>
        <v>12636</v>
      </c>
    </row>
    <row r="8" spans="1:38" s="1021" customFormat="1" ht="16.5">
      <c r="A8" s="1019"/>
      <c r="B8" s="1020" t="s">
        <v>549</v>
      </c>
      <c r="C8" s="1019"/>
      <c r="D8" s="1019"/>
      <c r="E8" s="1022"/>
      <c r="F8" s="1022"/>
      <c r="G8" s="847"/>
      <c r="H8" s="847"/>
      <c r="I8" s="847"/>
      <c r="J8" s="847"/>
      <c r="K8" s="847"/>
      <c r="L8" s="847"/>
      <c r="M8" s="847"/>
      <c r="N8" s="847"/>
      <c r="O8" s="847"/>
      <c r="P8" s="847"/>
      <c r="Q8" s="847"/>
      <c r="R8" s="847"/>
      <c r="S8" s="847"/>
      <c r="T8" s="847"/>
      <c r="U8" s="847"/>
      <c r="V8" s="847"/>
      <c r="W8" s="847"/>
      <c r="X8" s="847"/>
      <c r="Y8" s="847"/>
      <c r="Z8" s="847"/>
      <c r="AA8" s="847"/>
      <c r="AB8" s="847"/>
      <c r="AC8" s="847"/>
      <c r="AD8" s="847"/>
      <c r="AE8" s="847"/>
      <c r="AF8" s="847"/>
      <c r="AG8" s="847"/>
      <c r="AH8" s="847"/>
      <c r="AI8" s="847"/>
      <c r="AJ8" s="847"/>
      <c r="AK8" s="847"/>
      <c r="AL8" s="847"/>
    </row>
    <row r="9" spans="1:38" ht="16.5">
      <c r="A9" s="1004">
        <v>2</v>
      </c>
      <c r="B9" s="810" t="s">
        <v>855</v>
      </c>
      <c r="C9" s="808"/>
      <c r="D9" s="808"/>
      <c r="E9" s="1015"/>
      <c r="F9" s="1015"/>
    </row>
    <row r="10" spans="1:38" ht="16.5">
      <c r="A10" s="1004"/>
      <c r="B10" s="811" t="s">
        <v>858</v>
      </c>
      <c r="C10" s="808" t="s">
        <v>613</v>
      </c>
      <c r="D10" s="808">
        <v>300</v>
      </c>
      <c r="E10" s="1027">
        <f>ROUND(D10*1.15,0)</f>
        <v>345</v>
      </c>
      <c r="F10" s="1027">
        <f>ROUND(D10*1.3,0)</f>
        <v>390</v>
      </c>
    </row>
    <row r="11" spans="1:38" ht="16.5">
      <c r="A11" s="1004"/>
      <c r="B11" s="811" t="s">
        <v>614</v>
      </c>
      <c r="C11" s="808" t="s">
        <v>615</v>
      </c>
      <c r="D11" s="1016">
        <f>D12/D10</f>
        <v>9</v>
      </c>
      <c r="E11" s="1028">
        <v>19.5</v>
      </c>
      <c r="F11" s="1028">
        <v>25</v>
      </c>
    </row>
    <row r="12" spans="1:38" ht="16.5">
      <c r="A12" s="1004"/>
      <c r="B12" s="811" t="s">
        <v>616</v>
      </c>
      <c r="C12" s="808" t="s">
        <v>617</v>
      </c>
      <c r="D12" s="808">
        <v>2700</v>
      </c>
      <c r="E12" s="1029">
        <f>ROUND(E10*E11,0)</f>
        <v>6728</v>
      </c>
      <c r="F12" s="1029">
        <f>ROUND(F10*F11,0)</f>
        <v>9750</v>
      </c>
    </row>
    <row r="13" spans="1:38" ht="16.5">
      <c r="A13" s="1004">
        <v>3</v>
      </c>
      <c r="B13" s="810" t="s">
        <v>856</v>
      </c>
      <c r="C13" s="1004"/>
      <c r="D13" s="1004"/>
      <c r="E13" s="1015"/>
      <c r="F13" s="1015"/>
    </row>
    <row r="14" spans="1:38" ht="16.5">
      <c r="A14" s="1004"/>
      <c r="B14" s="811" t="s">
        <v>858</v>
      </c>
      <c r="C14" s="1004" t="s">
        <v>613</v>
      </c>
      <c r="D14" s="1004">
        <v>5000</v>
      </c>
      <c r="E14" s="1027">
        <f>ROUND(D14*1.3,0)</f>
        <v>6500</v>
      </c>
      <c r="F14" s="1027">
        <f>ROUND(D14*1.5,0)</f>
        <v>7500</v>
      </c>
    </row>
    <row r="15" spans="1:38" ht="16.5">
      <c r="A15" s="1004"/>
      <c r="B15" s="811" t="s">
        <v>614</v>
      </c>
      <c r="C15" s="1004" t="s">
        <v>615</v>
      </c>
      <c r="D15" s="1016">
        <f>D16/D14</f>
        <v>6.7560000000000002</v>
      </c>
      <c r="E15" s="1028">
        <v>19.5</v>
      </c>
      <c r="F15" s="1028">
        <v>25</v>
      </c>
    </row>
    <row r="16" spans="1:38" ht="16.5">
      <c r="A16" s="1004"/>
      <c r="B16" s="811" t="s">
        <v>616</v>
      </c>
      <c r="C16" s="1004" t="s">
        <v>617</v>
      </c>
      <c r="D16" s="1004">
        <v>33780</v>
      </c>
      <c r="E16" s="1029">
        <f>ROUND(E14*E15,0)</f>
        <v>126750</v>
      </c>
      <c r="F16" s="1029">
        <f>ROUND(F14*F15,0)</f>
        <v>187500</v>
      </c>
    </row>
    <row r="17" spans="1:38" s="1021" customFormat="1" ht="16.5">
      <c r="A17" s="1019"/>
      <c r="B17" s="1020" t="s">
        <v>551</v>
      </c>
      <c r="C17" s="1019"/>
      <c r="D17" s="1019"/>
      <c r="E17" s="1019"/>
      <c r="F17" s="1019"/>
      <c r="G17" s="847"/>
      <c r="H17" s="847"/>
      <c r="I17" s="847"/>
      <c r="J17" s="847"/>
      <c r="K17" s="847"/>
      <c r="L17" s="847"/>
      <c r="M17" s="847"/>
      <c r="N17" s="847"/>
      <c r="O17" s="847"/>
      <c r="P17" s="847"/>
      <c r="Q17" s="847"/>
      <c r="R17" s="847"/>
      <c r="S17" s="847"/>
      <c r="T17" s="847"/>
      <c r="U17" s="847"/>
      <c r="V17" s="847"/>
      <c r="W17" s="847"/>
      <c r="X17" s="847"/>
      <c r="Y17" s="847"/>
      <c r="Z17" s="847"/>
      <c r="AA17" s="847"/>
      <c r="AB17" s="847"/>
      <c r="AC17" s="847"/>
      <c r="AD17" s="847"/>
      <c r="AE17" s="847"/>
      <c r="AF17" s="847"/>
      <c r="AG17" s="847"/>
      <c r="AH17" s="847"/>
      <c r="AI17" s="847"/>
      <c r="AJ17" s="847"/>
      <c r="AK17" s="847"/>
      <c r="AL17" s="847"/>
    </row>
    <row r="18" spans="1:38" ht="16.5">
      <c r="A18" s="1004">
        <v>4</v>
      </c>
      <c r="B18" s="810" t="s">
        <v>631</v>
      </c>
      <c r="C18" s="808"/>
      <c r="D18" s="808"/>
      <c r="E18" s="808"/>
      <c r="F18" s="808"/>
    </row>
    <row r="19" spans="1:38" ht="16.5">
      <c r="A19" s="1004"/>
      <c r="B19" s="811" t="s">
        <v>858</v>
      </c>
      <c r="C19" s="808" t="s">
        <v>613</v>
      </c>
      <c r="D19" s="808">
        <v>1800</v>
      </c>
      <c r="E19" s="1027">
        <f>ROUND(D19*1.15,0)</f>
        <v>2070</v>
      </c>
      <c r="F19" s="1027">
        <f>ROUND(D19*1.3,0)</f>
        <v>2340</v>
      </c>
    </row>
    <row r="20" spans="1:38" ht="16.5">
      <c r="A20" s="1004"/>
      <c r="B20" s="811" t="s">
        <v>614</v>
      </c>
      <c r="C20" s="808" t="s">
        <v>615</v>
      </c>
      <c r="D20" s="1016">
        <f>D21/D19</f>
        <v>14.222222222222221</v>
      </c>
      <c r="E20" s="1028">
        <v>19.5</v>
      </c>
      <c r="F20" s="1028">
        <v>25</v>
      </c>
    </row>
    <row r="21" spans="1:38" ht="16.5">
      <c r="A21" s="1004"/>
      <c r="B21" s="811" t="s">
        <v>616</v>
      </c>
      <c r="C21" s="808" t="s">
        <v>617</v>
      </c>
      <c r="D21" s="808">
        <v>25600</v>
      </c>
      <c r="E21" s="1029">
        <f>ROUND(E19*E20,0)</f>
        <v>40365</v>
      </c>
      <c r="F21" s="1029">
        <f>ROUND(F19*F20,0)</f>
        <v>58500</v>
      </c>
    </row>
    <row r="22" spans="1:38" ht="16.5">
      <c r="A22" s="1004">
        <v>5</v>
      </c>
      <c r="B22" s="810" t="s">
        <v>632</v>
      </c>
      <c r="C22" s="808"/>
      <c r="D22" s="808"/>
      <c r="E22" s="808"/>
      <c r="F22" s="808"/>
    </row>
    <row r="23" spans="1:38" ht="16.5">
      <c r="A23" s="1004"/>
      <c r="B23" s="811" t="s">
        <v>858</v>
      </c>
      <c r="C23" s="808" t="s">
        <v>613</v>
      </c>
      <c r="D23" s="808">
        <v>4000</v>
      </c>
      <c r="E23" s="1027">
        <f>ROUND(D23*1.15,0)</f>
        <v>4600</v>
      </c>
      <c r="F23" s="1027">
        <f>ROUND(D23*1.3,0)</f>
        <v>5200</v>
      </c>
    </row>
    <row r="24" spans="1:38" ht="16.5">
      <c r="A24" s="1004"/>
      <c r="B24" s="811" t="s">
        <v>614</v>
      </c>
      <c r="C24" s="808" t="s">
        <v>615</v>
      </c>
      <c r="D24" s="1016">
        <f>D25/D23</f>
        <v>22.445</v>
      </c>
      <c r="E24" s="1028">
        <f>ROUND(D24*1.15,1)</f>
        <v>25.8</v>
      </c>
      <c r="F24" s="1028">
        <f>ROUND(D24*1.3,1)</f>
        <v>29.2</v>
      </c>
    </row>
    <row r="25" spans="1:38" ht="16.5">
      <c r="A25" s="1004"/>
      <c r="B25" s="811" t="s">
        <v>616</v>
      </c>
      <c r="C25" s="808" t="s">
        <v>617</v>
      </c>
      <c r="D25" s="808">
        <v>89780</v>
      </c>
      <c r="E25" s="1029">
        <f>ROUND(E23*E24,0)</f>
        <v>118680</v>
      </c>
      <c r="F25" s="1029">
        <f>ROUND(F23*F24,0)</f>
        <v>151840</v>
      </c>
    </row>
    <row r="26" spans="1:38" s="1021" customFormat="1" ht="16.5">
      <c r="A26" s="1019"/>
      <c r="B26" s="1020" t="s">
        <v>553</v>
      </c>
      <c r="C26" s="1019"/>
      <c r="D26" s="1019"/>
      <c r="E26" s="1019"/>
      <c r="F26" s="1019"/>
      <c r="G26" s="847"/>
      <c r="H26" s="847"/>
      <c r="I26" s="847"/>
      <c r="J26" s="847"/>
      <c r="K26" s="847"/>
      <c r="L26" s="847"/>
      <c r="M26" s="847"/>
      <c r="N26" s="847"/>
      <c r="O26" s="847"/>
      <c r="P26" s="847"/>
      <c r="Q26" s="847"/>
      <c r="R26" s="847"/>
      <c r="S26" s="847"/>
      <c r="T26" s="847"/>
      <c r="U26" s="847"/>
      <c r="V26" s="847"/>
      <c r="W26" s="847"/>
      <c r="X26" s="847"/>
      <c r="Y26" s="847"/>
      <c r="Z26" s="847"/>
      <c r="AA26" s="847"/>
      <c r="AB26" s="847"/>
      <c r="AC26" s="847"/>
      <c r="AD26" s="847"/>
      <c r="AE26" s="847"/>
      <c r="AF26" s="847"/>
      <c r="AG26" s="847"/>
      <c r="AH26" s="847"/>
      <c r="AI26" s="847"/>
      <c r="AJ26" s="847"/>
      <c r="AK26" s="847"/>
      <c r="AL26" s="847"/>
    </row>
    <row r="27" spans="1:38" ht="16.5">
      <c r="A27" s="1004">
        <v>6</v>
      </c>
      <c r="B27" s="813" t="s">
        <v>857</v>
      </c>
      <c r="C27" s="808"/>
      <c r="D27" s="808"/>
      <c r="E27" s="808"/>
      <c r="F27" s="808"/>
    </row>
    <row r="28" spans="1:38" ht="16.5">
      <c r="A28" s="1004"/>
      <c r="B28" s="811" t="s">
        <v>858</v>
      </c>
      <c r="C28" s="808" t="s">
        <v>613</v>
      </c>
      <c r="D28" s="808">
        <v>200</v>
      </c>
      <c r="E28" s="1027">
        <f>ROUND(D28*1.15,0)</f>
        <v>230</v>
      </c>
      <c r="F28" s="1027">
        <f>ROUND(D28*1.3,0)</f>
        <v>260</v>
      </c>
    </row>
    <row r="29" spans="1:38" ht="16.5">
      <c r="A29" s="1004"/>
      <c r="B29" s="811" t="s">
        <v>614</v>
      </c>
      <c r="C29" s="808" t="s">
        <v>615</v>
      </c>
      <c r="D29" s="808">
        <f>D30/D28</f>
        <v>13.5</v>
      </c>
      <c r="E29" s="1028">
        <v>19.5</v>
      </c>
      <c r="F29" s="1028">
        <v>25</v>
      </c>
    </row>
    <row r="30" spans="1:38" ht="16.5">
      <c r="A30" s="1004"/>
      <c r="B30" s="811" t="s">
        <v>616</v>
      </c>
      <c r="C30" s="808" t="s">
        <v>617</v>
      </c>
      <c r="D30" s="808">
        <v>2700</v>
      </c>
      <c r="E30" s="1029">
        <f>ROUND(E28*E29,0)</f>
        <v>4485</v>
      </c>
      <c r="F30" s="1029">
        <f>ROUND(F28*F29,0)</f>
        <v>6500</v>
      </c>
    </row>
    <row r="31" spans="1:38" s="1021" customFormat="1" ht="16.5">
      <c r="A31" s="1019"/>
      <c r="B31" s="1020" t="s">
        <v>555</v>
      </c>
      <c r="C31" s="1019"/>
      <c r="D31" s="1019"/>
      <c r="E31" s="1019"/>
      <c r="F31" s="1019"/>
    </row>
    <row r="32" spans="1:38" ht="16.5">
      <c r="A32" s="1004">
        <v>7</v>
      </c>
      <c r="B32" s="810" t="s">
        <v>639</v>
      </c>
      <c r="C32" s="808"/>
      <c r="D32" s="808"/>
      <c r="E32" s="808"/>
      <c r="F32" s="808"/>
    </row>
    <row r="33" spans="1:38" ht="16.5">
      <c r="A33" s="1004"/>
      <c r="B33" s="811" t="s">
        <v>858</v>
      </c>
      <c r="C33" s="808" t="s">
        <v>613</v>
      </c>
      <c r="D33" s="808">
        <v>1824</v>
      </c>
      <c r="E33" s="1027">
        <f>ROUND(D33*1.15,0)</f>
        <v>2098</v>
      </c>
      <c r="F33" s="1027">
        <f>ROUND(D33*1.3,0)</f>
        <v>2371</v>
      </c>
    </row>
    <row r="34" spans="1:38" ht="16.5">
      <c r="A34" s="1004"/>
      <c r="B34" s="811" t="s">
        <v>614</v>
      </c>
      <c r="C34" s="808" t="s">
        <v>615</v>
      </c>
      <c r="D34" s="1016">
        <f>D35/D33</f>
        <v>16.42543859649123</v>
      </c>
      <c r="E34" s="1028">
        <v>19.5</v>
      </c>
      <c r="F34" s="1028">
        <v>25</v>
      </c>
    </row>
    <row r="35" spans="1:38" ht="16.5">
      <c r="A35" s="1004"/>
      <c r="B35" s="811" t="s">
        <v>616</v>
      </c>
      <c r="C35" s="808" t="s">
        <v>617</v>
      </c>
      <c r="D35" s="808">
        <v>29960</v>
      </c>
      <c r="E35" s="1029">
        <f>ROUND(E33*E34,0)</f>
        <v>40911</v>
      </c>
      <c r="F35" s="1029">
        <f>ROUND(F33*F34,0)</f>
        <v>59275</v>
      </c>
    </row>
    <row r="36" spans="1:38" s="1026" customFormat="1" ht="16.5">
      <c r="A36" s="1023"/>
      <c r="B36" s="1024" t="s">
        <v>609</v>
      </c>
      <c r="C36" s="1025"/>
      <c r="D36" s="1025"/>
      <c r="E36" s="1025"/>
      <c r="F36" s="1025"/>
      <c r="G36" s="847"/>
      <c r="H36" s="847"/>
      <c r="I36" s="847"/>
      <c r="J36" s="847"/>
      <c r="K36" s="847"/>
      <c r="L36" s="847"/>
      <c r="M36" s="847"/>
      <c r="N36" s="847"/>
      <c r="O36" s="847"/>
      <c r="P36" s="847"/>
      <c r="Q36" s="847"/>
      <c r="R36" s="847"/>
      <c r="S36" s="847"/>
      <c r="T36" s="847"/>
      <c r="U36" s="847"/>
      <c r="V36" s="847"/>
      <c r="W36" s="847"/>
      <c r="X36" s="847"/>
      <c r="Y36" s="847"/>
      <c r="Z36" s="847"/>
      <c r="AA36" s="847"/>
      <c r="AB36" s="847"/>
      <c r="AC36" s="847"/>
      <c r="AD36" s="847"/>
      <c r="AE36" s="847"/>
      <c r="AF36" s="847"/>
      <c r="AG36" s="847"/>
      <c r="AH36" s="847"/>
      <c r="AI36" s="847"/>
      <c r="AJ36" s="847"/>
      <c r="AK36" s="847"/>
      <c r="AL36" s="847"/>
    </row>
    <row r="37" spans="1:38" ht="16.5">
      <c r="A37" s="812"/>
      <c r="B37" s="811" t="s">
        <v>612</v>
      </c>
      <c r="C37" s="808" t="s">
        <v>613</v>
      </c>
      <c r="D37" s="1018">
        <f>D5+D10+D14+D19+D23+D28+D33</f>
        <v>13424</v>
      </c>
      <c r="E37" s="1018">
        <f t="shared" ref="E37:F37" si="0">E5+E10+E14+E19+E23+E28+E33</f>
        <v>16188</v>
      </c>
      <c r="F37" s="1018">
        <f t="shared" si="0"/>
        <v>18451</v>
      </c>
    </row>
    <row r="38" spans="1:38" ht="16.5">
      <c r="A38" s="812"/>
      <c r="B38" s="811" t="s">
        <v>614</v>
      </c>
      <c r="C38" s="808" t="s">
        <v>615</v>
      </c>
      <c r="D38" s="1016">
        <f>D39/D37</f>
        <v>14.301996424314661</v>
      </c>
      <c r="E38" s="1016">
        <f t="shared" ref="E38:F38" si="1">E39/E37</f>
        <v>21.48418581665431</v>
      </c>
      <c r="F38" s="1016">
        <f t="shared" si="1"/>
        <v>26.340089968023413</v>
      </c>
    </row>
    <row r="39" spans="1:38" ht="16.5">
      <c r="A39" s="812"/>
      <c r="B39" s="811" t="s">
        <v>616</v>
      </c>
      <c r="C39" s="808" t="s">
        <v>617</v>
      </c>
      <c r="D39" s="1018">
        <f>D7+D12+D16+D21+D25+D30+D35</f>
        <v>191990</v>
      </c>
      <c r="E39" s="1018">
        <f t="shared" ref="E39:F39" si="2">E7+E12+E16+E21+E25+E30+E35</f>
        <v>347786</v>
      </c>
      <c r="F39" s="1018">
        <f t="shared" si="2"/>
        <v>486001</v>
      </c>
    </row>
  </sheetData>
  <mergeCells count="6"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34"/>
  <sheetViews>
    <sheetView topLeftCell="E1" workbookViewId="0">
      <selection activeCell="O2" sqref="O2"/>
    </sheetView>
  </sheetViews>
  <sheetFormatPr defaultRowHeight="15"/>
  <cols>
    <col min="1" max="1" width="9.140625" style="847"/>
    <col min="2" max="2" width="29.5703125" style="847" customWidth="1"/>
    <col min="3" max="16384" width="9.140625" style="847"/>
  </cols>
  <sheetData>
    <row r="1" spans="1:20">
      <c r="A1" s="1286" t="s">
        <v>126</v>
      </c>
      <c r="B1" s="1286" t="s">
        <v>834</v>
      </c>
      <c r="C1" s="1452" t="s">
        <v>835</v>
      </c>
      <c r="D1" s="1053"/>
      <c r="E1" s="1053"/>
      <c r="F1" s="1452" t="s">
        <v>836</v>
      </c>
      <c r="G1" s="1452" t="s">
        <v>837</v>
      </c>
      <c r="H1" s="1452" t="s">
        <v>838</v>
      </c>
      <c r="I1" s="1452" t="s">
        <v>839</v>
      </c>
      <c r="J1" s="1452" t="s">
        <v>840</v>
      </c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57.75" customHeight="1">
      <c r="A2" s="1286"/>
      <c r="B2" s="1286"/>
      <c r="C2" s="1452"/>
      <c r="D2" s="1053" t="s">
        <v>841</v>
      </c>
      <c r="E2" s="1053" t="s">
        <v>842</v>
      </c>
      <c r="F2" s="1452"/>
      <c r="G2" s="1452"/>
      <c r="H2" s="1452"/>
      <c r="I2" s="1452"/>
      <c r="J2" s="1452"/>
      <c r="K2" s="5"/>
      <c r="L2" s="5" t="s">
        <v>843</v>
      </c>
      <c r="M2" s="5" t="s">
        <v>844</v>
      </c>
      <c r="N2" s="5"/>
      <c r="O2" s="5"/>
      <c r="P2" s="5"/>
      <c r="Q2" s="5"/>
      <c r="R2" s="5"/>
      <c r="S2" s="5"/>
      <c r="T2" s="5"/>
    </row>
    <row r="3" spans="1:20" s="22" customFormat="1" ht="15.75">
      <c r="A3" s="1035" t="s">
        <v>774</v>
      </c>
      <c r="B3" s="1051" t="s">
        <v>853</v>
      </c>
      <c r="C3" s="1035">
        <v>1100</v>
      </c>
      <c r="D3" s="1052">
        <f>ROUND('S посева корм.'!H33,0)</f>
        <v>38</v>
      </c>
      <c r="E3" s="1052">
        <f>ROUND('S посева корм.'!H34,0)</f>
        <v>6</v>
      </c>
      <c r="F3" s="1035">
        <v>300</v>
      </c>
      <c r="G3" s="1052">
        <f>ROUND(C3/100,0)</f>
        <v>11</v>
      </c>
      <c r="H3" s="1052">
        <f>ROUND(F3/170,0)</f>
        <v>2</v>
      </c>
      <c r="I3" s="1052">
        <f>ROUND(D3/120,0)</f>
        <v>0</v>
      </c>
      <c r="J3" s="1052">
        <f>ROUND(E3/60,0)</f>
        <v>0</v>
      </c>
      <c r="K3" s="1014"/>
      <c r="L3" s="1014">
        <f>ROUND(C3/1000*4,0)</f>
        <v>4</v>
      </c>
      <c r="M3" s="1014">
        <f>G3*7</f>
        <v>77</v>
      </c>
      <c r="N3" s="1014">
        <f>(H3+I3+J3)*2</f>
        <v>4</v>
      </c>
      <c r="O3" s="1014">
        <f>L3*7</f>
        <v>28</v>
      </c>
      <c r="P3" s="1014"/>
      <c r="Q3" s="1014"/>
      <c r="R3" s="1014"/>
      <c r="S3" s="1014"/>
      <c r="T3" s="1014"/>
    </row>
    <row r="4" spans="1:20" s="22" customFormat="1" ht="15.75">
      <c r="A4" s="1035" t="s">
        <v>776</v>
      </c>
      <c r="B4" s="1051" t="s">
        <v>854</v>
      </c>
      <c r="C4" s="1035">
        <v>300</v>
      </c>
      <c r="D4" s="1052">
        <f>ROUND('S посева корм.'!H69,0)</f>
        <v>47</v>
      </c>
      <c r="E4" s="1052">
        <f>ROUND('S посева корм.'!H70,0)</f>
        <v>7</v>
      </c>
      <c r="F4" s="1035">
        <v>300</v>
      </c>
      <c r="G4" s="1052">
        <f t="shared" ref="G4:G9" si="0">ROUND(C4/100,0)</f>
        <v>3</v>
      </c>
      <c r="H4" s="1052">
        <f t="shared" ref="H4:H9" si="1">ROUND(F4/170,0)</f>
        <v>2</v>
      </c>
      <c r="I4" s="1052">
        <f>ROUND(D4/120,0)</f>
        <v>0</v>
      </c>
      <c r="J4" s="1052">
        <f>ROUND(E4/60,0)</f>
        <v>0</v>
      </c>
      <c r="K4" s="1014"/>
      <c r="L4" s="1014">
        <f t="shared" ref="L4:L9" si="2">ROUND(C4/1000*4,0)</f>
        <v>1</v>
      </c>
      <c r="M4" s="1014">
        <f t="shared" ref="M4:M9" si="3">G4*7</f>
        <v>21</v>
      </c>
      <c r="N4" s="1014">
        <f t="shared" ref="N4:N9" si="4">(H4+I4+J4)*2</f>
        <v>4</v>
      </c>
      <c r="O4" s="1014">
        <f t="shared" ref="O4:O9" si="5">L4*7</f>
        <v>7</v>
      </c>
      <c r="P4" s="1014"/>
      <c r="Q4" s="1014"/>
      <c r="R4" s="1014"/>
      <c r="S4" s="1014"/>
      <c r="T4" s="1014"/>
    </row>
    <row r="5" spans="1:20" s="22" customFormat="1" ht="15.75">
      <c r="A5" s="1035" t="s">
        <v>778</v>
      </c>
      <c r="B5" s="1051" t="s">
        <v>307</v>
      </c>
      <c r="C5" s="1035">
        <v>10000</v>
      </c>
      <c r="D5" s="1052">
        <v>0</v>
      </c>
      <c r="E5" s="1052">
        <v>0</v>
      </c>
      <c r="F5" s="1035">
        <v>5000</v>
      </c>
      <c r="G5" s="1052">
        <f t="shared" si="0"/>
        <v>100</v>
      </c>
      <c r="H5" s="1052">
        <f t="shared" si="1"/>
        <v>29</v>
      </c>
      <c r="I5" s="1052">
        <f t="shared" ref="I5:I9" si="6">ROUND(D5/120,0)</f>
        <v>0</v>
      </c>
      <c r="J5" s="1052">
        <f t="shared" ref="J5:J9" si="7">ROUND(E5/60,0)</f>
        <v>0</v>
      </c>
      <c r="L5" s="1014">
        <f t="shared" si="2"/>
        <v>40</v>
      </c>
      <c r="M5" s="1014">
        <f t="shared" si="3"/>
        <v>700</v>
      </c>
      <c r="N5" s="1014">
        <f t="shared" si="4"/>
        <v>58</v>
      </c>
      <c r="O5" s="1014">
        <f t="shared" si="5"/>
        <v>280</v>
      </c>
    </row>
    <row r="6" spans="1:20" s="22" customFormat="1" ht="15.75">
      <c r="A6" s="1035" t="s">
        <v>780</v>
      </c>
      <c r="B6" s="1051" t="s">
        <v>303</v>
      </c>
      <c r="C6" s="1035">
        <v>3707</v>
      </c>
      <c r="D6" s="1052">
        <f>ROUND('S посева корм.'!H105+'S посева корм.'!H114,0)</f>
        <v>83</v>
      </c>
      <c r="E6" s="1052">
        <f>ROUND('S посева корм.'!H106+'S посева корм.'!H115,0)</f>
        <v>14</v>
      </c>
      <c r="F6" s="1035">
        <v>1800</v>
      </c>
      <c r="G6" s="1052">
        <f>ROUND(C6/100,0)</f>
        <v>37</v>
      </c>
      <c r="H6" s="1052">
        <f>ROUND(F6/170,0)</f>
        <v>11</v>
      </c>
      <c r="I6" s="1052">
        <f>ROUND(D6/120,0)</f>
        <v>1</v>
      </c>
      <c r="J6" s="1052">
        <f>ROUND(E6/60,0)</f>
        <v>0</v>
      </c>
      <c r="L6" s="1014">
        <f t="shared" si="2"/>
        <v>15</v>
      </c>
      <c r="M6" s="1014">
        <f t="shared" si="3"/>
        <v>259</v>
      </c>
      <c r="N6" s="1014">
        <f>(H6+I6+J6)*2</f>
        <v>24</v>
      </c>
      <c r="O6" s="1014">
        <f>L6*7</f>
        <v>105</v>
      </c>
    </row>
    <row r="7" spans="1:20" s="22" customFormat="1" ht="15.75">
      <c r="A7" s="1035" t="s">
        <v>782</v>
      </c>
      <c r="B7" s="1051" t="s">
        <v>606</v>
      </c>
      <c r="C7" s="1035">
        <v>7227</v>
      </c>
      <c r="D7" s="1052">
        <f>ROUND('S посева корм.'!H123+'S посева корм.'!H132,0)</f>
        <v>466</v>
      </c>
      <c r="E7" s="1052">
        <f>ROUND('S посева корм.'!H124+'S посева корм.'!H133,0)</f>
        <v>75</v>
      </c>
      <c r="F7" s="1035">
        <v>4000</v>
      </c>
      <c r="G7" s="1052">
        <f t="shared" si="0"/>
        <v>72</v>
      </c>
      <c r="H7" s="1052">
        <f t="shared" si="1"/>
        <v>24</v>
      </c>
      <c r="I7" s="1052">
        <f t="shared" si="6"/>
        <v>4</v>
      </c>
      <c r="J7" s="1052">
        <f t="shared" si="7"/>
        <v>1</v>
      </c>
      <c r="L7" s="1014">
        <f t="shared" si="2"/>
        <v>29</v>
      </c>
      <c r="M7" s="1014">
        <f t="shared" si="3"/>
        <v>504</v>
      </c>
      <c r="N7" s="1014">
        <f t="shared" si="4"/>
        <v>58</v>
      </c>
      <c r="O7" s="1014">
        <f t="shared" si="5"/>
        <v>203</v>
      </c>
    </row>
    <row r="8" spans="1:20" s="22" customFormat="1" ht="15.75">
      <c r="A8" s="1035" t="s">
        <v>784</v>
      </c>
      <c r="B8" s="1051" t="s">
        <v>322</v>
      </c>
      <c r="C8" s="1035">
        <v>200</v>
      </c>
      <c r="D8" s="1052">
        <f>ROUND('S посева корм.'!H141,0)</f>
        <v>5</v>
      </c>
      <c r="E8" s="1052">
        <f>ROUND('S посева корм.'!H142,0)</f>
        <v>1</v>
      </c>
      <c r="F8" s="1035">
        <v>0</v>
      </c>
      <c r="G8" s="1052">
        <f t="shared" si="0"/>
        <v>2</v>
      </c>
      <c r="H8" s="1052">
        <f t="shared" si="1"/>
        <v>0</v>
      </c>
      <c r="I8" s="1052">
        <f t="shared" si="6"/>
        <v>0</v>
      </c>
      <c r="J8" s="1052">
        <f t="shared" si="7"/>
        <v>0</v>
      </c>
      <c r="L8" s="1014">
        <f t="shared" si="2"/>
        <v>1</v>
      </c>
      <c r="M8" s="1014">
        <f t="shared" si="3"/>
        <v>14</v>
      </c>
      <c r="N8" s="1014">
        <f t="shared" si="4"/>
        <v>0</v>
      </c>
      <c r="O8" s="1014">
        <f t="shared" si="5"/>
        <v>7</v>
      </c>
      <c r="Q8" s="22">
        <f>(33+62+48+23)/2</f>
        <v>83</v>
      </c>
      <c r="R8" s="22">
        <f>249/83</f>
        <v>3</v>
      </c>
    </row>
    <row r="9" spans="1:20" s="22" customFormat="1" ht="15.75">
      <c r="A9" s="1035" t="s">
        <v>845</v>
      </c>
      <c r="B9" s="1051" t="s">
        <v>608</v>
      </c>
      <c r="C9" s="1035">
        <v>3767</v>
      </c>
      <c r="D9" s="1052">
        <f>ROUND('S посева корм.'!H177+'S посева корм.'!H186,0)</f>
        <v>50</v>
      </c>
      <c r="E9" s="1052">
        <f>ROUND('S посева корм.'!H178+'S посева корм.'!H187,0)</f>
        <v>9</v>
      </c>
      <c r="F9" s="1035">
        <v>1824</v>
      </c>
      <c r="G9" s="1052">
        <f t="shared" si="0"/>
        <v>38</v>
      </c>
      <c r="H9" s="1052">
        <f t="shared" si="1"/>
        <v>11</v>
      </c>
      <c r="I9" s="1052">
        <f t="shared" si="6"/>
        <v>0</v>
      </c>
      <c r="J9" s="1052">
        <f t="shared" si="7"/>
        <v>0</v>
      </c>
      <c r="K9" s="1014"/>
      <c r="L9" s="1014">
        <f t="shared" si="2"/>
        <v>15</v>
      </c>
      <c r="M9" s="1014">
        <f t="shared" si="3"/>
        <v>266</v>
      </c>
      <c r="N9" s="1014">
        <f t="shared" si="4"/>
        <v>22</v>
      </c>
      <c r="O9" s="1014">
        <f t="shared" si="5"/>
        <v>105</v>
      </c>
      <c r="P9" s="1014"/>
      <c r="Q9" s="1014">
        <f>63*3</f>
        <v>189</v>
      </c>
      <c r="R9" s="1014"/>
      <c r="S9" s="1014"/>
      <c r="T9" s="1014"/>
    </row>
    <row r="10" spans="1:20" ht="16.5" thickBot="1">
      <c r="A10" s="1453" t="s">
        <v>846</v>
      </c>
      <c r="B10" s="1453"/>
      <c r="C10" s="1052">
        <f t="shared" ref="C10:J10" si="8">SUM(C3:C9)</f>
        <v>26301</v>
      </c>
      <c r="D10" s="1052">
        <f>SUM(D3:D9)</f>
        <v>689</v>
      </c>
      <c r="E10" s="1052">
        <f t="shared" si="8"/>
        <v>112</v>
      </c>
      <c r="F10" s="1035">
        <f t="shared" si="8"/>
        <v>13224</v>
      </c>
      <c r="G10" s="1052">
        <f>SUM(G3:G9)</f>
        <v>263</v>
      </c>
      <c r="H10" s="1035">
        <f t="shared" si="8"/>
        <v>79</v>
      </c>
      <c r="I10" s="1035">
        <f t="shared" si="8"/>
        <v>5</v>
      </c>
      <c r="J10" s="1035">
        <f t="shared" si="8"/>
        <v>1</v>
      </c>
      <c r="K10" s="1012"/>
      <c r="L10" s="1013">
        <f>SUM(L3:L9)</f>
        <v>105</v>
      </c>
      <c r="M10" s="1013">
        <f>SUM(M3:M9)</f>
        <v>1841</v>
      </c>
      <c r="N10" s="1013">
        <f>SUM(N3:N9)</f>
        <v>170</v>
      </c>
      <c r="O10" s="1013">
        <f>SUM(O3:O9)</f>
        <v>735</v>
      </c>
      <c r="P10" s="5"/>
      <c r="Q10" s="5"/>
      <c r="R10" s="5"/>
      <c r="S10" s="5"/>
      <c r="T10" s="5"/>
    </row>
    <row r="11" spans="1:20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>
      <c r="A13" s="5"/>
      <c r="B13" s="5"/>
      <c r="C13" s="5"/>
      <c r="D13" s="5"/>
      <c r="E13" s="5"/>
      <c r="F13" s="5"/>
      <c r="G13" s="1054">
        <f t="shared" ref="G13:G19" si="9">ROUND(G3*0.99,0)</f>
        <v>11</v>
      </c>
      <c r="H13" s="5">
        <f>H3*1</f>
        <v>2</v>
      </c>
      <c r="I13" s="5">
        <f>ROUND(L3*0.63,0)</f>
        <v>3</v>
      </c>
      <c r="J13" s="5">
        <f>ROUND((G13+H13+I13)/2,0)</f>
        <v>8</v>
      </c>
      <c r="K13" s="5">
        <f>J13*3</f>
        <v>24</v>
      </c>
      <c r="L13" s="5"/>
      <c r="M13" s="5"/>
      <c r="N13" s="5"/>
      <c r="O13" s="5"/>
      <c r="P13" s="5"/>
      <c r="Q13" s="5"/>
      <c r="R13" s="5"/>
      <c r="S13" s="5"/>
      <c r="T13" s="5"/>
    </row>
    <row r="14" spans="1:20">
      <c r="A14" s="5"/>
      <c r="B14" s="5"/>
      <c r="C14" s="5"/>
      <c r="D14" s="5"/>
      <c r="E14" s="5"/>
      <c r="F14" s="5"/>
      <c r="G14" s="1054">
        <f t="shared" si="9"/>
        <v>3</v>
      </c>
      <c r="H14" s="5">
        <f>H4*1</f>
        <v>2</v>
      </c>
      <c r="I14" s="5">
        <f t="shared" ref="I14:I19" si="10">ROUND(L4*0.63,0)</f>
        <v>1</v>
      </c>
      <c r="J14" s="5">
        <f>ROUND((G14+H14+I14)/2,0)</f>
        <v>3</v>
      </c>
      <c r="K14" s="5">
        <f t="shared" ref="K14:K19" si="11">J14*3</f>
        <v>9</v>
      </c>
      <c r="L14" s="5"/>
      <c r="M14" s="5"/>
      <c r="N14" s="5"/>
      <c r="O14" s="5"/>
      <c r="P14" s="5"/>
      <c r="Q14" s="5"/>
      <c r="R14" s="5"/>
      <c r="S14" s="5"/>
      <c r="T14" s="5"/>
    </row>
    <row r="15" spans="1:20">
      <c r="A15" s="5"/>
      <c r="B15" s="5"/>
      <c r="C15" s="5"/>
      <c r="D15" s="5"/>
      <c r="E15" s="5"/>
      <c r="F15" s="5"/>
      <c r="G15" s="1054">
        <f t="shared" si="9"/>
        <v>99</v>
      </c>
      <c r="H15" s="5">
        <f t="shared" ref="H15:H19" si="12">H5*1</f>
        <v>29</v>
      </c>
      <c r="I15" s="5">
        <f t="shared" si="10"/>
        <v>25</v>
      </c>
      <c r="J15" s="5">
        <f t="shared" ref="J15:J19" si="13">ROUND((G15+H15+I15)/2,0)</f>
        <v>77</v>
      </c>
      <c r="K15" s="5">
        <f t="shared" si="11"/>
        <v>231</v>
      </c>
      <c r="L15" s="5"/>
      <c r="M15" s="5"/>
      <c r="N15" s="5"/>
      <c r="O15" s="5"/>
      <c r="P15" s="5"/>
      <c r="Q15" s="5"/>
      <c r="R15" s="5"/>
      <c r="S15" s="5"/>
      <c r="T15" s="5"/>
    </row>
    <row r="16" spans="1:20">
      <c r="A16" s="5"/>
      <c r="B16" s="5"/>
      <c r="C16" s="5"/>
      <c r="D16" s="5"/>
      <c r="E16" s="5"/>
      <c r="F16" s="5"/>
      <c r="G16" s="1054">
        <f t="shared" si="9"/>
        <v>37</v>
      </c>
      <c r="H16" s="5">
        <f t="shared" si="12"/>
        <v>11</v>
      </c>
      <c r="I16" s="5">
        <f t="shared" si="10"/>
        <v>9</v>
      </c>
      <c r="J16" s="5">
        <f>ROUND((G16+H16+I16)/2,0)</f>
        <v>29</v>
      </c>
      <c r="K16" s="5">
        <f t="shared" si="11"/>
        <v>87</v>
      </c>
      <c r="L16" s="5"/>
      <c r="M16" s="5"/>
      <c r="N16" s="5"/>
      <c r="O16" s="5"/>
      <c r="P16" s="5"/>
      <c r="Q16" s="5"/>
      <c r="R16" s="5"/>
      <c r="S16" s="5"/>
      <c r="T16" s="5"/>
    </row>
    <row r="17" spans="1:20">
      <c r="A17" s="5"/>
      <c r="B17" s="5"/>
      <c r="C17" s="5"/>
      <c r="D17" s="5"/>
      <c r="E17" s="5"/>
      <c r="F17" s="5"/>
      <c r="G17" s="1054">
        <f t="shared" si="9"/>
        <v>71</v>
      </c>
      <c r="H17" s="5">
        <f t="shared" si="12"/>
        <v>24</v>
      </c>
      <c r="I17" s="5">
        <f t="shared" si="10"/>
        <v>18</v>
      </c>
      <c r="J17" s="5">
        <f t="shared" si="13"/>
        <v>57</v>
      </c>
      <c r="K17" s="5">
        <f t="shared" si="11"/>
        <v>171</v>
      </c>
      <c r="L17" s="5"/>
      <c r="M17" s="5"/>
      <c r="N17" s="5"/>
      <c r="O17" s="5"/>
      <c r="P17" s="5"/>
      <c r="Q17" s="5"/>
      <c r="R17" s="5"/>
      <c r="S17" s="5"/>
      <c r="T17" s="5"/>
    </row>
    <row r="18" spans="1:20">
      <c r="A18" s="5"/>
      <c r="B18" s="5"/>
      <c r="C18" s="5"/>
      <c r="D18" s="5"/>
      <c r="E18" s="5"/>
      <c r="F18" s="5"/>
      <c r="G18" s="1054">
        <f t="shared" si="9"/>
        <v>2</v>
      </c>
      <c r="H18" s="5">
        <f t="shared" si="12"/>
        <v>0</v>
      </c>
      <c r="I18" s="5">
        <f t="shared" si="10"/>
        <v>1</v>
      </c>
      <c r="J18" s="5">
        <f t="shared" si="13"/>
        <v>2</v>
      </c>
      <c r="K18" s="5">
        <f t="shared" si="11"/>
        <v>6</v>
      </c>
      <c r="L18" s="5"/>
      <c r="M18" s="5"/>
      <c r="N18" s="5"/>
      <c r="O18" s="5"/>
      <c r="P18" s="5"/>
      <c r="Q18" s="5"/>
      <c r="R18" s="5"/>
      <c r="S18" s="5"/>
      <c r="T18" s="5"/>
    </row>
    <row r="19" spans="1:20">
      <c r="A19" s="5"/>
      <c r="B19" s="5"/>
      <c r="C19" s="5"/>
      <c r="D19" s="5"/>
      <c r="E19" s="5"/>
      <c r="F19" s="5"/>
      <c r="G19" s="1054">
        <f t="shared" si="9"/>
        <v>38</v>
      </c>
      <c r="H19" s="5">
        <f t="shared" si="12"/>
        <v>11</v>
      </c>
      <c r="I19" s="5">
        <f t="shared" si="10"/>
        <v>9</v>
      </c>
      <c r="J19" s="5">
        <f t="shared" si="13"/>
        <v>29</v>
      </c>
      <c r="K19" s="5">
        <f t="shared" si="11"/>
        <v>87</v>
      </c>
      <c r="L19" s="5"/>
      <c r="M19" s="5"/>
      <c r="N19" s="5"/>
      <c r="O19" s="5"/>
      <c r="P19" s="5"/>
      <c r="Q19" s="5"/>
      <c r="R19" s="5"/>
      <c r="S19" s="5"/>
      <c r="T19" s="5"/>
    </row>
    <row r="20" spans="1:20">
      <c r="A20" s="5"/>
      <c r="B20" s="5"/>
      <c r="C20" s="5"/>
      <c r="D20" s="5"/>
      <c r="E20" s="5"/>
      <c r="F20" s="5"/>
      <c r="G20" s="1054">
        <f>SUM(G13:G19)</f>
        <v>261</v>
      </c>
      <c r="H20" s="1054">
        <f t="shared" ref="H20:K20" si="14">SUM(H13:H19)</f>
        <v>79</v>
      </c>
      <c r="I20" s="1054">
        <f t="shared" si="14"/>
        <v>66</v>
      </c>
      <c r="J20" s="1054">
        <f t="shared" si="14"/>
        <v>205</v>
      </c>
      <c r="K20" s="1054">
        <f t="shared" si="14"/>
        <v>615</v>
      </c>
      <c r="L20" s="5"/>
      <c r="M20" s="5"/>
      <c r="N20" s="5"/>
      <c r="O20" s="5"/>
      <c r="P20" s="5"/>
      <c r="Q20" s="5"/>
      <c r="R20" s="5"/>
      <c r="S20" s="5"/>
      <c r="T20" s="5"/>
    </row>
    <row r="21" spans="1:20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</row>
    <row r="22" spans="1:20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1:20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</row>
    <row r="24" spans="1:20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</row>
    <row r="25" spans="1:20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  <row r="26" spans="1:20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1:20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0">
      <c r="A29" s="5"/>
      <c r="B29" s="5"/>
      <c r="C29" s="5"/>
      <c r="D29" s="5"/>
      <c r="E29" s="5"/>
      <c r="F29" s="5"/>
      <c r="L29" s="5"/>
      <c r="M29" s="5"/>
      <c r="N29" s="5"/>
      <c r="O29" s="5"/>
      <c r="P29" s="5"/>
      <c r="Q29" s="5"/>
      <c r="R29" s="5"/>
      <c r="S29" s="5"/>
      <c r="T29" s="5"/>
    </row>
    <row r="30" spans="1:20">
      <c r="A30" s="5"/>
      <c r="B30" s="5"/>
      <c r="C30" s="5"/>
      <c r="D30" s="5"/>
      <c r="E30" s="5"/>
      <c r="F30" s="5"/>
      <c r="L30" s="5"/>
      <c r="M30" s="5"/>
      <c r="N30" s="5"/>
      <c r="O30" s="5"/>
      <c r="P30" s="5"/>
      <c r="Q30" s="5"/>
      <c r="R30" s="5"/>
      <c r="S30" s="5"/>
      <c r="T30" s="5"/>
    </row>
    <row r="31" spans="1:20">
      <c r="A31" s="5"/>
      <c r="B31" s="5"/>
      <c r="C31" s="5"/>
      <c r="D31" s="5"/>
      <c r="E31" s="5"/>
      <c r="F31" s="5"/>
      <c r="L31" s="5"/>
      <c r="M31" s="5"/>
      <c r="N31" s="5"/>
      <c r="O31" s="5"/>
      <c r="P31" s="5"/>
      <c r="Q31" s="5"/>
      <c r="R31" s="5"/>
      <c r="S31" s="5"/>
      <c r="T31" s="5"/>
    </row>
    <row r="32" spans="1:20">
      <c r="A32" s="5"/>
      <c r="B32" s="5"/>
      <c r="C32" s="5"/>
      <c r="D32" s="5"/>
      <c r="E32" s="5"/>
      <c r="F32" s="5"/>
      <c r="L32" s="5"/>
      <c r="M32" s="5"/>
      <c r="N32" s="5"/>
      <c r="O32" s="5"/>
      <c r="P32" s="5"/>
      <c r="Q32" s="5"/>
      <c r="R32" s="5"/>
      <c r="S32" s="5"/>
      <c r="T32" s="5"/>
    </row>
    <row r="33" spans="1:20">
      <c r="A33" s="5"/>
      <c r="B33" s="5"/>
      <c r="C33" s="5"/>
      <c r="D33" s="5"/>
      <c r="E33" s="5"/>
      <c r="F33" s="5"/>
      <c r="L33" s="5"/>
      <c r="M33" s="5"/>
      <c r="N33" s="5"/>
      <c r="O33" s="5"/>
      <c r="P33" s="5"/>
      <c r="Q33" s="5"/>
      <c r="R33" s="5"/>
      <c r="S33" s="5"/>
      <c r="T33" s="5"/>
    </row>
    <row r="34" spans="1:20">
      <c r="A34" s="5"/>
      <c r="B34" s="5"/>
      <c r="C34" s="5"/>
      <c r="D34" s="5"/>
      <c r="E34" s="5"/>
      <c r="F34" s="5"/>
      <c r="L34" s="5"/>
      <c r="M34" s="5"/>
      <c r="N34" s="5"/>
      <c r="O34" s="5"/>
      <c r="P34" s="5"/>
      <c r="Q34" s="5"/>
      <c r="R34" s="5"/>
      <c r="S34" s="5"/>
      <c r="T34" s="5"/>
    </row>
  </sheetData>
  <mergeCells count="9">
    <mergeCell ref="I1:I2"/>
    <mergeCell ref="J1:J2"/>
    <mergeCell ref="A10:B10"/>
    <mergeCell ref="A1:A2"/>
    <mergeCell ref="B1:B2"/>
    <mergeCell ref="C1:C2"/>
    <mergeCell ref="F1:F2"/>
    <mergeCell ref="G1:G2"/>
    <mergeCell ref="H1:H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8"/>
  <sheetViews>
    <sheetView workbookViewId="0">
      <selection activeCell="S25" sqref="S25"/>
    </sheetView>
  </sheetViews>
  <sheetFormatPr defaultRowHeight="15"/>
  <cols>
    <col min="1" max="1" width="4.42578125" customWidth="1"/>
    <col min="2" max="2" width="27.140625" customWidth="1"/>
    <col min="3" max="3" width="5.140625" customWidth="1"/>
    <col min="4" max="4" width="5.42578125" customWidth="1"/>
    <col min="5" max="5" width="4.85546875" customWidth="1"/>
    <col min="6" max="6" width="5.5703125" customWidth="1"/>
    <col min="7" max="7" width="4.5703125" customWidth="1"/>
    <col min="8" max="9" width="4.7109375" customWidth="1"/>
    <col min="10" max="10" width="5.42578125" customWidth="1"/>
    <col min="11" max="11" width="4.7109375" customWidth="1"/>
    <col min="12" max="12" width="5.28515625" customWidth="1"/>
    <col min="13" max="13" width="5.140625" customWidth="1"/>
    <col min="14" max="14" width="5.28515625" customWidth="1"/>
    <col min="15" max="15" width="5.42578125" customWidth="1"/>
    <col min="16" max="16" width="6.5703125" customWidth="1"/>
    <col min="17" max="17" width="9.140625" style="748"/>
    <col min="18" max="18" width="5.5703125" customWidth="1"/>
    <col min="19" max="19" width="17.7109375" customWidth="1"/>
  </cols>
  <sheetData>
    <row r="1" spans="1:20" ht="81.75" customHeight="1">
      <c r="B1" s="732"/>
      <c r="C1" s="733" t="s">
        <v>514</v>
      </c>
      <c r="D1" s="733" t="s">
        <v>515</v>
      </c>
      <c r="E1" s="733" t="s">
        <v>516</v>
      </c>
      <c r="F1" s="733" t="s">
        <v>517</v>
      </c>
      <c r="G1" s="733" t="s">
        <v>518</v>
      </c>
      <c r="H1" s="733" t="s">
        <v>519</v>
      </c>
      <c r="I1" s="733" t="s">
        <v>520</v>
      </c>
      <c r="J1" s="733" t="s">
        <v>521</v>
      </c>
      <c r="K1" s="733" t="s">
        <v>522</v>
      </c>
      <c r="L1" s="733" t="s">
        <v>523</v>
      </c>
      <c r="M1" s="733" t="s">
        <v>524</v>
      </c>
      <c r="N1" s="733" t="s">
        <v>525</v>
      </c>
      <c r="O1" s="730"/>
      <c r="Q1" s="753" t="s">
        <v>535</v>
      </c>
      <c r="R1" s="731"/>
      <c r="S1" s="1175" t="s">
        <v>536</v>
      </c>
      <c r="T1" s="1176"/>
    </row>
    <row r="2" spans="1:20" ht="18.75" customHeight="1">
      <c r="A2" s="1172">
        <v>2008</v>
      </c>
      <c r="B2" s="743" t="s">
        <v>530</v>
      </c>
      <c r="C2" s="745">
        <v>7983</v>
      </c>
      <c r="D2" s="745">
        <v>1925</v>
      </c>
      <c r="E2" s="745">
        <v>507</v>
      </c>
      <c r="F2" s="745">
        <v>1246</v>
      </c>
      <c r="G2" s="745">
        <v>789</v>
      </c>
      <c r="H2" s="745">
        <v>437</v>
      </c>
      <c r="I2" s="745">
        <v>566</v>
      </c>
      <c r="J2" s="745">
        <v>1784</v>
      </c>
      <c r="K2" s="745">
        <v>1006</v>
      </c>
      <c r="L2" s="745">
        <v>1013</v>
      </c>
      <c r="M2" s="745">
        <v>1075</v>
      </c>
      <c r="N2" s="745">
        <v>1154</v>
      </c>
      <c r="Q2" s="752">
        <f>SUM(C2:N2)</f>
        <v>19485</v>
      </c>
      <c r="S2" s="734" t="s">
        <v>526</v>
      </c>
      <c r="T2" s="754">
        <f>ROUND((Q3+Q11+Q19)/3,0)</f>
        <v>205</v>
      </c>
    </row>
    <row r="3" spans="1:20">
      <c r="A3" s="1172"/>
      <c r="B3" s="743" t="s">
        <v>526</v>
      </c>
      <c r="C3" s="744">
        <v>84</v>
      </c>
      <c r="D3" s="744">
        <v>20</v>
      </c>
      <c r="E3" s="744">
        <v>5</v>
      </c>
      <c r="F3" s="744">
        <v>12</v>
      </c>
      <c r="G3" s="744">
        <v>5</v>
      </c>
      <c r="H3" s="744">
        <v>10</v>
      </c>
      <c r="I3" s="744">
        <v>6</v>
      </c>
      <c r="J3" s="744">
        <v>16</v>
      </c>
      <c r="K3" s="744">
        <v>13</v>
      </c>
      <c r="L3" s="744">
        <v>15</v>
      </c>
      <c r="M3" s="744">
        <v>10</v>
      </c>
      <c r="N3" s="744">
        <v>8</v>
      </c>
      <c r="Q3" s="750">
        <f>SUM(C3:N3)</f>
        <v>204</v>
      </c>
      <c r="S3" s="734" t="s">
        <v>527</v>
      </c>
      <c r="T3" s="754">
        <f t="shared" ref="T3:T5" si="0">ROUND((Q4+Q12+Q20)/3,0)</f>
        <v>352</v>
      </c>
    </row>
    <row r="4" spans="1:20">
      <c r="A4" s="1172"/>
      <c r="B4" s="743" t="s">
        <v>527</v>
      </c>
      <c r="C4" s="744">
        <v>179</v>
      </c>
      <c r="D4" s="744">
        <v>49</v>
      </c>
      <c r="E4" s="744">
        <v>13</v>
      </c>
      <c r="F4" s="744">
        <v>31</v>
      </c>
      <c r="G4" s="744">
        <v>9</v>
      </c>
      <c r="H4" s="744">
        <v>14</v>
      </c>
      <c r="I4" s="744">
        <v>17</v>
      </c>
      <c r="J4" s="744">
        <v>30</v>
      </c>
      <c r="K4" s="744">
        <v>26</v>
      </c>
      <c r="L4" s="744">
        <v>26</v>
      </c>
      <c r="M4" s="744">
        <v>16</v>
      </c>
      <c r="N4" s="744">
        <v>16</v>
      </c>
      <c r="Q4" s="750">
        <f t="shared" ref="Q4:Q6" si="1">SUM(C4:N4)</f>
        <v>426</v>
      </c>
      <c r="S4" s="734" t="s">
        <v>528</v>
      </c>
      <c r="T4" s="754">
        <f t="shared" si="0"/>
        <v>1217</v>
      </c>
    </row>
    <row r="5" spans="1:20">
      <c r="A5" s="1172"/>
      <c r="B5" s="743" t="s">
        <v>528</v>
      </c>
      <c r="C5" s="744">
        <v>736</v>
      </c>
      <c r="D5" s="744">
        <v>65</v>
      </c>
      <c r="E5" s="744">
        <v>28</v>
      </c>
      <c r="F5" s="744">
        <v>173</v>
      </c>
      <c r="G5" s="744">
        <v>28</v>
      </c>
      <c r="H5" s="744">
        <v>39</v>
      </c>
      <c r="I5" s="744">
        <v>10</v>
      </c>
      <c r="J5" s="744">
        <v>50</v>
      </c>
      <c r="K5" s="744">
        <v>63</v>
      </c>
      <c r="L5" s="744">
        <v>70</v>
      </c>
      <c r="M5" s="744">
        <v>45</v>
      </c>
      <c r="N5" s="744">
        <v>93</v>
      </c>
      <c r="Q5" s="750">
        <f t="shared" si="1"/>
        <v>1400</v>
      </c>
      <c r="S5" s="734" t="s">
        <v>529</v>
      </c>
      <c r="T5" s="754">
        <f t="shared" si="0"/>
        <v>1247</v>
      </c>
    </row>
    <row r="6" spans="1:20">
      <c r="A6" s="1172"/>
      <c r="B6" s="743" t="s">
        <v>529</v>
      </c>
      <c r="C6" s="744">
        <v>647</v>
      </c>
      <c r="D6" s="744">
        <v>46</v>
      </c>
      <c r="E6" s="744">
        <v>18</v>
      </c>
      <c r="F6" s="744">
        <v>151</v>
      </c>
      <c r="G6" s="744">
        <v>23</v>
      </c>
      <c r="H6" s="744">
        <v>16</v>
      </c>
      <c r="I6" s="744">
        <v>14</v>
      </c>
      <c r="J6" s="744">
        <v>98</v>
      </c>
      <c r="K6" s="744">
        <v>31</v>
      </c>
      <c r="L6" s="744">
        <v>31</v>
      </c>
      <c r="M6" s="744">
        <v>38</v>
      </c>
      <c r="N6" s="744">
        <v>70</v>
      </c>
      <c r="Q6" s="750">
        <f t="shared" si="1"/>
        <v>1183</v>
      </c>
    </row>
    <row r="7" spans="1:20">
      <c r="A7" s="1172"/>
      <c r="B7" s="743" t="s">
        <v>532</v>
      </c>
      <c r="C7" s="744">
        <f>C3-C4</f>
        <v>-95</v>
      </c>
      <c r="D7" s="744">
        <f t="shared" ref="D7:N7" si="2">D3-D4</f>
        <v>-29</v>
      </c>
      <c r="E7" s="744">
        <f t="shared" si="2"/>
        <v>-8</v>
      </c>
      <c r="F7" s="744">
        <f t="shared" si="2"/>
        <v>-19</v>
      </c>
      <c r="G7" s="744">
        <f t="shared" si="2"/>
        <v>-4</v>
      </c>
      <c r="H7" s="744">
        <f t="shared" si="2"/>
        <v>-4</v>
      </c>
      <c r="I7" s="744">
        <f t="shared" si="2"/>
        <v>-11</v>
      </c>
      <c r="J7" s="744">
        <f t="shared" si="2"/>
        <v>-14</v>
      </c>
      <c r="K7" s="744">
        <f t="shared" si="2"/>
        <v>-13</v>
      </c>
      <c r="L7" s="744">
        <f t="shared" si="2"/>
        <v>-11</v>
      </c>
      <c r="M7" s="744">
        <f t="shared" si="2"/>
        <v>-6</v>
      </c>
      <c r="N7" s="744">
        <f t="shared" si="2"/>
        <v>-8</v>
      </c>
    </row>
    <row r="8" spans="1:20">
      <c r="A8" s="1172"/>
      <c r="B8" s="743" t="s">
        <v>533</v>
      </c>
      <c r="C8" s="744">
        <f>C5-C6</f>
        <v>89</v>
      </c>
      <c r="D8" s="744">
        <f t="shared" ref="D8:N8" si="3">D5-D6</f>
        <v>19</v>
      </c>
      <c r="E8" s="744">
        <f t="shared" si="3"/>
        <v>10</v>
      </c>
      <c r="F8" s="744">
        <f t="shared" si="3"/>
        <v>22</v>
      </c>
      <c r="G8" s="744">
        <f t="shared" si="3"/>
        <v>5</v>
      </c>
      <c r="H8" s="744">
        <f t="shared" si="3"/>
        <v>23</v>
      </c>
      <c r="I8" s="744">
        <f t="shared" si="3"/>
        <v>-4</v>
      </c>
      <c r="J8" s="744">
        <f t="shared" si="3"/>
        <v>-48</v>
      </c>
      <c r="K8" s="744">
        <f t="shared" si="3"/>
        <v>32</v>
      </c>
      <c r="L8" s="744">
        <f t="shared" si="3"/>
        <v>39</v>
      </c>
      <c r="M8" s="744">
        <f t="shared" si="3"/>
        <v>7</v>
      </c>
      <c r="N8" s="744">
        <f t="shared" si="3"/>
        <v>23</v>
      </c>
    </row>
    <row r="9" spans="1:20">
      <c r="A9" s="1172"/>
      <c r="B9" s="743" t="s">
        <v>531</v>
      </c>
      <c r="C9" s="744">
        <f>C2+C7+C8</f>
        <v>7977</v>
      </c>
      <c r="D9" s="744">
        <f>D2+D7+D8</f>
        <v>1915</v>
      </c>
      <c r="E9" s="744">
        <f t="shared" ref="E9:N9" si="4">E2+E7+E8</f>
        <v>509</v>
      </c>
      <c r="F9" s="744">
        <f t="shared" si="4"/>
        <v>1249</v>
      </c>
      <c r="G9" s="744">
        <f t="shared" si="4"/>
        <v>790</v>
      </c>
      <c r="H9" s="744">
        <f t="shared" si="4"/>
        <v>456</v>
      </c>
      <c r="I9" s="744">
        <f t="shared" si="4"/>
        <v>551</v>
      </c>
      <c r="J9" s="744">
        <f t="shared" si="4"/>
        <v>1722</v>
      </c>
      <c r="K9" s="744">
        <f t="shared" si="4"/>
        <v>1025</v>
      </c>
      <c r="L9" s="744">
        <f t="shared" si="4"/>
        <v>1041</v>
      </c>
      <c r="M9" s="744">
        <f t="shared" si="4"/>
        <v>1076</v>
      </c>
      <c r="N9" s="744">
        <f t="shared" si="4"/>
        <v>1169</v>
      </c>
      <c r="O9" s="730"/>
      <c r="P9">
        <f>SUM(C9:N9)</f>
        <v>19480</v>
      </c>
    </row>
    <row r="10" spans="1:20">
      <c r="A10" s="1173">
        <v>2009</v>
      </c>
      <c r="B10" s="739" t="s">
        <v>530</v>
      </c>
      <c r="C10" s="745">
        <f>C9</f>
        <v>7977</v>
      </c>
      <c r="D10" s="745">
        <f t="shared" ref="D10:N10" si="5">D9</f>
        <v>1915</v>
      </c>
      <c r="E10" s="745">
        <f t="shared" si="5"/>
        <v>509</v>
      </c>
      <c r="F10" s="745">
        <f t="shared" si="5"/>
        <v>1249</v>
      </c>
      <c r="G10" s="745">
        <f t="shared" si="5"/>
        <v>790</v>
      </c>
      <c r="H10" s="745">
        <f t="shared" si="5"/>
        <v>456</v>
      </c>
      <c r="I10" s="745">
        <f t="shared" si="5"/>
        <v>551</v>
      </c>
      <c r="J10" s="745">
        <f t="shared" si="5"/>
        <v>1722</v>
      </c>
      <c r="K10" s="745">
        <f t="shared" si="5"/>
        <v>1025</v>
      </c>
      <c r="L10" s="745">
        <f t="shared" si="5"/>
        <v>1041</v>
      </c>
      <c r="M10" s="745">
        <f t="shared" si="5"/>
        <v>1076</v>
      </c>
      <c r="N10" s="745">
        <f t="shared" si="5"/>
        <v>1169</v>
      </c>
      <c r="Q10" s="749">
        <f>SUM(C10:N10)</f>
        <v>19480</v>
      </c>
    </row>
    <row r="11" spans="1:20">
      <c r="A11" s="1173"/>
      <c r="B11" s="739" t="s">
        <v>526</v>
      </c>
      <c r="C11" s="740">
        <v>90</v>
      </c>
      <c r="D11" s="740">
        <v>12</v>
      </c>
      <c r="E11" s="740">
        <v>6</v>
      </c>
      <c r="F11" s="740">
        <v>15</v>
      </c>
      <c r="G11" s="740">
        <v>7</v>
      </c>
      <c r="H11" s="740">
        <v>4</v>
      </c>
      <c r="I11" s="740">
        <v>7</v>
      </c>
      <c r="J11" s="740">
        <v>21</v>
      </c>
      <c r="K11" s="740">
        <v>10</v>
      </c>
      <c r="L11" s="740">
        <v>14</v>
      </c>
      <c r="M11" s="740">
        <v>12</v>
      </c>
      <c r="N11" s="740">
        <v>11</v>
      </c>
      <c r="Q11" s="750">
        <f>SUM(C11:N11)</f>
        <v>209</v>
      </c>
    </row>
    <row r="12" spans="1:20">
      <c r="A12" s="1173"/>
      <c r="B12" s="739" t="s">
        <v>527</v>
      </c>
      <c r="C12" s="740">
        <v>122</v>
      </c>
      <c r="D12" s="740">
        <v>36</v>
      </c>
      <c r="E12" s="740">
        <v>4</v>
      </c>
      <c r="F12" s="740">
        <v>27</v>
      </c>
      <c r="G12" s="740">
        <v>18</v>
      </c>
      <c r="H12" s="740">
        <v>5</v>
      </c>
      <c r="I12" s="740">
        <v>9</v>
      </c>
      <c r="J12" s="740">
        <v>33</v>
      </c>
      <c r="K12" s="740">
        <v>16</v>
      </c>
      <c r="L12" s="740">
        <v>12</v>
      </c>
      <c r="M12" s="740">
        <v>23</v>
      </c>
      <c r="N12" s="740">
        <v>16</v>
      </c>
      <c r="Q12" s="750">
        <f t="shared" ref="Q12:Q14" si="6">SUM(C12:N12)</f>
        <v>321</v>
      </c>
    </row>
    <row r="13" spans="1:20">
      <c r="A13" s="1173"/>
      <c r="B13" s="739" t="s">
        <v>528</v>
      </c>
      <c r="C13" s="740">
        <v>759</v>
      </c>
      <c r="D13" s="740">
        <v>56</v>
      </c>
      <c r="E13" s="740">
        <v>25</v>
      </c>
      <c r="F13" s="740">
        <v>62</v>
      </c>
      <c r="G13" s="740">
        <v>21</v>
      </c>
      <c r="H13" s="740">
        <v>34</v>
      </c>
      <c r="I13" s="740">
        <v>14</v>
      </c>
      <c r="J13" s="740">
        <v>78</v>
      </c>
      <c r="K13" s="740">
        <v>38</v>
      </c>
      <c r="L13" s="740">
        <v>3</v>
      </c>
      <c r="M13" s="740">
        <v>38</v>
      </c>
      <c r="N13" s="740">
        <v>44</v>
      </c>
      <c r="Q13" s="750">
        <f t="shared" si="6"/>
        <v>1172</v>
      </c>
    </row>
    <row r="14" spans="1:20">
      <c r="A14" s="1173"/>
      <c r="B14" s="739" t="s">
        <v>529</v>
      </c>
      <c r="C14" s="740">
        <v>751</v>
      </c>
      <c r="D14" s="740">
        <v>218</v>
      </c>
      <c r="E14" s="740">
        <v>27</v>
      </c>
      <c r="F14" s="740">
        <v>193</v>
      </c>
      <c r="G14" s="740">
        <v>23</v>
      </c>
      <c r="H14" s="740">
        <v>16</v>
      </c>
      <c r="I14" s="740">
        <v>21</v>
      </c>
      <c r="J14" s="740">
        <v>126</v>
      </c>
      <c r="K14" s="740">
        <v>135</v>
      </c>
      <c r="L14" s="740">
        <v>16</v>
      </c>
      <c r="M14" s="740">
        <v>43</v>
      </c>
      <c r="N14" s="740">
        <v>24</v>
      </c>
      <c r="Q14" s="750">
        <f t="shared" si="6"/>
        <v>1593</v>
      </c>
    </row>
    <row r="15" spans="1:20">
      <c r="A15" s="1173"/>
      <c r="B15" s="739" t="s">
        <v>532</v>
      </c>
      <c r="C15" s="740">
        <f>C11-C12</f>
        <v>-32</v>
      </c>
      <c r="D15" s="740">
        <f t="shared" ref="D15:N15" si="7">D11-D12</f>
        <v>-24</v>
      </c>
      <c r="E15" s="740">
        <f t="shared" si="7"/>
        <v>2</v>
      </c>
      <c r="F15" s="740">
        <f t="shared" si="7"/>
        <v>-12</v>
      </c>
      <c r="G15" s="740">
        <f t="shared" si="7"/>
        <v>-11</v>
      </c>
      <c r="H15" s="740">
        <f t="shared" si="7"/>
        <v>-1</v>
      </c>
      <c r="I15" s="740">
        <f t="shared" si="7"/>
        <v>-2</v>
      </c>
      <c r="J15" s="740">
        <f t="shared" si="7"/>
        <v>-12</v>
      </c>
      <c r="K15" s="740">
        <f t="shared" si="7"/>
        <v>-6</v>
      </c>
      <c r="L15" s="740">
        <f t="shared" si="7"/>
        <v>2</v>
      </c>
      <c r="M15" s="740">
        <f t="shared" si="7"/>
        <v>-11</v>
      </c>
      <c r="N15" s="740">
        <f t="shared" si="7"/>
        <v>-5</v>
      </c>
    </row>
    <row r="16" spans="1:20">
      <c r="A16" s="1173"/>
      <c r="B16" s="739" t="s">
        <v>533</v>
      </c>
      <c r="C16" s="740">
        <f>C13-C14</f>
        <v>8</v>
      </c>
      <c r="D16" s="740">
        <f t="shared" ref="D16:N16" si="8">D13-D14</f>
        <v>-162</v>
      </c>
      <c r="E16" s="740">
        <f t="shared" si="8"/>
        <v>-2</v>
      </c>
      <c r="F16" s="740">
        <f t="shared" si="8"/>
        <v>-131</v>
      </c>
      <c r="G16" s="740">
        <f t="shared" si="8"/>
        <v>-2</v>
      </c>
      <c r="H16" s="740">
        <f t="shared" si="8"/>
        <v>18</v>
      </c>
      <c r="I16" s="740">
        <f t="shared" si="8"/>
        <v>-7</v>
      </c>
      <c r="J16" s="740">
        <f t="shared" si="8"/>
        <v>-48</v>
      </c>
      <c r="K16" s="740">
        <f t="shared" si="8"/>
        <v>-97</v>
      </c>
      <c r="L16" s="740">
        <f t="shared" si="8"/>
        <v>-13</v>
      </c>
      <c r="M16" s="740">
        <f t="shared" si="8"/>
        <v>-5</v>
      </c>
      <c r="N16" s="740">
        <f t="shared" si="8"/>
        <v>20</v>
      </c>
    </row>
    <row r="17" spans="1:17">
      <c r="A17" s="1173"/>
      <c r="B17" s="739" t="s">
        <v>531</v>
      </c>
      <c r="C17" s="740">
        <f>C10+C15+C16</f>
        <v>7953</v>
      </c>
      <c r="D17" s="740">
        <f t="shared" ref="D17:N17" si="9">D10+D15+D16</f>
        <v>1729</v>
      </c>
      <c r="E17" s="740">
        <f t="shared" si="9"/>
        <v>509</v>
      </c>
      <c r="F17" s="740">
        <f t="shared" si="9"/>
        <v>1106</v>
      </c>
      <c r="G17" s="740">
        <f t="shared" si="9"/>
        <v>777</v>
      </c>
      <c r="H17" s="740">
        <f t="shared" si="9"/>
        <v>473</v>
      </c>
      <c r="I17" s="740">
        <f t="shared" si="9"/>
        <v>542</v>
      </c>
      <c r="J17" s="740">
        <f t="shared" si="9"/>
        <v>1662</v>
      </c>
      <c r="K17" s="740">
        <f t="shared" si="9"/>
        <v>922</v>
      </c>
      <c r="L17" s="740">
        <f t="shared" si="9"/>
        <v>1030</v>
      </c>
      <c r="M17" s="740">
        <f t="shared" si="9"/>
        <v>1060</v>
      </c>
      <c r="N17" s="740">
        <f t="shared" si="9"/>
        <v>1184</v>
      </c>
    </row>
    <row r="18" spans="1:17">
      <c r="A18" s="1174">
        <v>2010</v>
      </c>
      <c r="B18" s="741" t="s">
        <v>530</v>
      </c>
      <c r="C18" s="745">
        <f>C17</f>
        <v>7953</v>
      </c>
      <c r="D18" s="745">
        <f t="shared" ref="D18:N18" si="10">D17</f>
        <v>1729</v>
      </c>
      <c r="E18" s="745">
        <f t="shared" si="10"/>
        <v>509</v>
      </c>
      <c r="F18" s="745">
        <f t="shared" si="10"/>
        <v>1106</v>
      </c>
      <c r="G18" s="745">
        <f t="shared" si="10"/>
        <v>777</v>
      </c>
      <c r="H18" s="745">
        <f t="shared" si="10"/>
        <v>473</v>
      </c>
      <c r="I18" s="745">
        <f t="shared" si="10"/>
        <v>542</v>
      </c>
      <c r="J18" s="745">
        <f t="shared" si="10"/>
        <v>1662</v>
      </c>
      <c r="K18" s="745">
        <f t="shared" si="10"/>
        <v>922</v>
      </c>
      <c r="L18" s="745">
        <f t="shared" si="10"/>
        <v>1030</v>
      </c>
      <c r="M18" s="745">
        <f t="shared" si="10"/>
        <v>1060</v>
      </c>
      <c r="N18" s="745">
        <f t="shared" si="10"/>
        <v>1184</v>
      </c>
      <c r="Q18" s="749">
        <f>SUM(C18:N18)</f>
        <v>18947</v>
      </c>
    </row>
    <row r="19" spans="1:17">
      <c r="A19" s="1174"/>
      <c r="B19" s="741" t="s">
        <v>526</v>
      </c>
      <c r="C19" s="742">
        <v>95</v>
      </c>
      <c r="D19" s="742">
        <v>6</v>
      </c>
      <c r="E19" s="742">
        <v>5</v>
      </c>
      <c r="F19" s="742">
        <v>10</v>
      </c>
      <c r="G19" s="742">
        <v>7</v>
      </c>
      <c r="H19" s="742">
        <v>4</v>
      </c>
      <c r="I19" s="742">
        <v>11</v>
      </c>
      <c r="J19" s="742">
        <v>19</v>
      </c>
      <c r="K19" s="742">
        <v>4</v>
      </c>
      <c r="L19" s="742">
        <v>21</v>
      </c>
      <c r="M19" s="742">
        <v>15</v>
      </c>
      <c r="N19" s="742">
        <v>5</v>
      </c>
      <c r="Q19" s="750">
        <f>SUM(C19:N19)</f>
        <v>202</v>
      </c>
    </row>
    <row r="20" spans="1:17">
      <c r="A20" s="1174"/>
      <c r="B20" s="741" t="s">
        <v>527</v>
      </c>
      <c r="C20" s="742">
        <v>136</v>
      </c>
      <c r="D20" s="742">
        <v>21</v>
      </c>
      <c r="E20" s="742">
        <v>11</v>
      </c>
      <c r="F20" s="742">
        <v>28</v>
      </c>
      <c r="G20" s="742">
        <v>11</v>
      </c>
      <c r="H20" s="742">
        <v>6</v>
      </c>
      <c r="I20" s="742">
        <v>10</v>
      </c>
      <c r="J20" s="742">
        <v>14</v>
      </c>
      <c r="K20" s="742">
        <v>17</v>
      </c>
      <c r="L20" s="742">
        <v>22</v>
      </c>
      <c r="M20" s="742">
        <v>20</v>
      </c>
      <c r="N20" s="742">
        <v>14</v>
      </c>
      <c r="Q20" s="750">
        <f t="shared" ref="Q20:Q22" si="11">SUM(C20:N20)</f>
        <v>310</v>
      </c>
    </row>
    <row r="21" spans="1:17">
      <c r="A21" s="1174"/>
      <c r="B21" s="741" t="s">
        <v>528</v>
      </c>
      <c r="C21" s="742">
        <v>563</v>
      </c>
      <c r="D21" s="742">
        <v>87</v>
      </c>
      <c r="E21" s="742">
        <v>33</v>
      </c>
      <c r="F21" s="742">
        <v>88</v>
      </c>
      <c r="G21" s="742">
        <v>44</v>
      </c>
      <c r="H21" s="742">
        <v>24</v>
      </c>
      <c r="I21" s="742">
        <v>22</v>
      </c>
      <c r="J21" s="742">
        <v>37</v>
      </c>
      <c r="K21" s="742">
        <v>65</v>
      </c>
      <c r="L21" s="742">
        <v>53</v>
      </c>
      <c r="M21" s="742">
        <v>31</v>
      </c>
      <c r="N21" s="742">
        <v>31</v>
      </c>
      <c r="Q21" s="750">
        <f t="shared" si="11"/>
        <v>1078</v>
      </c>
    </row>
    <row r="22" spans="1:17">
      <c r="A22" s="1174"/>
      <c r="B22" s="741" t="s">
        <v>529</v>
      </c>
      <c r="C22" s="742">
        <v>590</v>
      </c>
      <c r="D22" s="742">
        <v>65</v>
      </c>
      <c r="E22" s="742">
        <v>11</v>
      </c>
      <c r="F22" s="742">
        <v>69</v>
      </c>
      <c r="G22" s="742">
        <v>35</v>
      </c>
      <c r="H22" s="742">
        <v>15</v>
      </c>
      <c r="I22" s="742">
        <v>14</v>
      </c>
      <c r="J22" s="742">
        <v>24</v>
      </c>
      <c r="K22" s="742">
        <v>41</v>
      </c>
      <c r="L22" s="742">
        <v>38</v>
      </c>
      <c r="M22" s="742">
        <v>36</v>
      </c>
      <c r="N22" s="742">
        <v>28</v>
      </c>
      <c r="Q22" s="750">
        <f t="shared" si="11"/>
        <v>966</v>
      </c>
    </row>
    <row r="23" spans="1:17">
      <c r="A23" s="1174"/>
      <c r="B23" s="741" t="s">
        <v>532</v>
      </c>
      <c r="C23" s="742">
        <f>C19-C20</f>
        <v>-41</v>
      </c>
      <c r="D23" s="742">
        <f t="shared" ref="D23:N23" si="12">D19-D20</f>
        <v>-15</v>
      </c>
      <c r="E23" s="742">
        <f t="shared" si="12"/>
        <v>-6</v>
      </c>
      <c r="F23" s="742">
        <f t="shared" si="12"/>
        <v>-18</v>
      </c>
      <c r="G23" s="742">
        <f t="shared" si="12"/>
        <v>-4</v>
      </c>
      <c r="H23" s="742">
        <f t="shared" si="12"/>
        <v>-2</v>
      </c>
      <c r="I23" s="742">
        <f t="shared" si="12"/>
        <v>1</v>
      </c>
      <c r="J23" s="742">
        <f t="shared" si="12"/>
        <v>5</v>
      </c>
      <c r="K23" s="742">
        <f t="shared" si="12"/>
        <v>-13</v>
      </c>
      <c r="L23" s="742">
        <f t="shared" si="12"/>
        <v>-1</v>
      </c>
      <c r="M23" s="742">
        <f t="shared" si="12"/>
        <v>-5</v>
      </c>
      <c r="N23" s="742">
        <f t="shared" si="12"/>
        <v>-9</v>
      </c>
    </row>
    <row r="24" spans="1:17">
      <c r="A24" s="1174"/>
      <c r="B24" s="741" t="s">
        <v>533</v>
      </c>
      <c r="C24" s="742">
        <f>C21-C22</f>
        <v>-27</v>
      </c>
      <c r="D24" s="742">
        <f t="shared" ref="D24:N24" si="13">D21-D22</f>
        <v>22</v>
      </c>
      <c r="E24" s="742">
        <f t="shared" si="13"/>
        <v>22</v>
      </c>
      <c r="F24" s="742">
        <f t="shared" si="13"/>
        <v>19</v>
      </c>
      <c r="G24" s="742">
        <f t="shared" si="13"/>
        <v>9</v>
      </c>
      <c r="H24" s="742">
        <f t="shared" si="13"/>
        <v>9</v>
      </c>
      <c r="I24" s="742">
        <f t="shared" si="13"/>
        <v>8</v>
      </c>
      <c r="J24" s="742">
        <f t="shared" si="13"/>
        <v>13</v>
      </c>
      <c r="K24" s="742">
        <f t="shared" si="13"/>
        <v>24</v>
      </c>
      <c r="L24" s="742">
        <f t="shared" si="13"/>
        <v>15</v>
      </c>
      <c r="M24" s="742">
        <f t="shared" si="13"/>
        <v>-5</v>
      </c>
      <c r="N24" s="742">
        <f t="shared" si="13"/>
        <v>3</v>
      </c>
    </row>
    <row r="25" spans="1:17">
      <c r="A25" s="1174"/>
      <c r="B25" s="741" t="s">
        <v>531</v>
      </c>
      <c r="C25" s="742">
        <f>C18+C23+C24</f>
        <v>7885</v>
      </c>
      <c r="D25" s="742">
        <f t="shared" ref="D25:N25" si="14">D18+D23+D24</f>
        <v>1736</v>
      </c>
      <c r="E25" s="742">
        <f t="shared" si="14"/>
        <v>525</v>
      </c>
      <c r="F25" s="742">
        <f t="shared" si="14"/>
        <v>1107</v>
      </c>
      <c r="G25" s="742">
        <f t="shared" si="14"/>
        <v>782</v>
      </c>
      <c r="H25" s="742">
        <f t="shared" si="14"/>
        <v>480</v>
      </c>
      <c r="I25" s="742">
        <f t="shared" si="14"/>
        <v>551</v>
      </c>
      <c r="J25" s="742">
        <f t="shared" si="14"/>
        <v>1680</v>
      </c>
      <c r="K25" s="742">
        <f t="shared" si="14"/>
        <v>933</v>
      </c>
      <c r="L25" s="742">
        <f t="shared" si="14"/>
        <v>1044</v>
      </c>
      <c r="M25" s="742">
        <f t="shared" si="14"/>
        <v>1050</v>
      </c>
      <c r="N25" s="742">
        <f t="shared" si="14"/>
        <v>1178</v>
      </c>
    </row>
    <row r="26" spans="1:17" ht="10.5" customHeight="1"/>
    <row r="27" spans="1:17" ht="11.25" customHeight="1"/>
    <row r="28" spans="1:17">
      <c r="B28" s="741" t="s">
        <v>534</v>
      </c>
      <c r="C28" s="746">
        <f>C25</f>
        <v>7885</v>
      </c>
      <c r="D28" s="746">
        <f t="shared" ref="D28:N28" si="15">D25</f>
        <v>1736</v>
      </c>
      <c r="E28" s="746">
        <f t="shared" si="15"/>
        <v>525</v>
      </c>
      <c r="F28" s="746">
        <f t="shared" si="15"/>
        <v>1107</v>
      </c>
      <c r="G28" s="746">
        <f t="shared" si="15"/>
        <v>782</v>
      </c>
      <c r="H28" s="746">
        <f t="shared" si="15"/>
        <v>480</v>
      </c>
      <c r="I28" s="746">
        <f t="shared" si="15"/>
        <v>551</v>
      </c>
      <c r="J28" s="746">
        <f t="shared" si="15"/>
        <v>1680</v>
      </c>
      <c r="K28" s="746">
        <f t="shared" si="15"/>
        <v>933</v>
      </c>
      <c r="L28" s="746">
        <f t="shared" si="15"/>
        <v>1044</v>
      </c>
      <c r="M28" s="746">
        <f t="shared" si="15"/>
        <v>1050</v>
      </c>
      <c r="N28" s="746">
        <f t="shared" si="15"/>
        <v>1178</v>
      </c>
      <c r="Q28" s="751">
        <f>SUM(C28:N28)</f>
        <v>18951</v>
      </c>
    </row>
  </sheetData>
  <mergeCells count="4">
    <mergeCell ref="A2:A9"/>
    <mergeCell ref="A10:A17"/>
    <mergeCell ref="A18:A25"/>
    <mergeCell ref="S1:T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K78"/>
  <sheetViews>
    <sheetView workbookViewId="0">
      <selection activeCell="Q5" sqref="Q5"/>
    </sheetView>
  </sheetViews>
  <sheetFormatPr defaultColWidth="35.140625" defaultRowHeight="15"/>
  <cols>
    <col min="1" max="1" width="30.5703125" style="30" customWidth="1"/>
    <col min="2" max="2" width="24.140625" style="30" customWidth="1"/>
    <col min="3" max="3" width="18.5703125" style="30" customWidth="1"/>
    <col min="4" max="4" width="11.42578125" style="30" customWidth="1"/>
    <col min="5" max="5" width="5.28515625" style="182" hidden="1" customWidth="1"/>
    <col min="6" max="6" width="6.7109375" style="182" hidden="1" customWidth="1"/>
    <col min="7" max="8" width="5.28515625" style="182" hidden="1" customWidth="1"/>
    <col min="9" max="11" width="5.28515625" style="183" hidden="1" customWidth="1"/>
    <col min="12" max="12" width="6.5703125" style="183" hidden="1" customWidth="1"/>
    <col min="13" max="14" width="5.28515625" style="30" hidden="1" customWidth="1"/>
    <col min="15" max="15" width="3.42578125" style="30" hidden="1" customWidth="1"/>
    <col min="16" max="16" width="3.5703125" style="30" hidden="1" customWidth="1"/>
    <col min="17" max="17" width="15.5703125" style="30" customWidth="1"/>
    <col min="18" max="16384" width="35.140625" style="30"/>
  </cols>
  <sheetData>
    <row r="1" spans="1:37">
      <c r="A1" s="27"/>
      <c r="B1" s="27"/>
      <c r="C1" s="27"/>
      <c r="D1" s="27"/>
      <c r="E1" s="1177" t="s">
        <v>28</v>
      </c>
      <c r="F1" s="1177"/>
      <c r="G1" s="1177"/>
      <c r="H1" s="1177"/>
      <c r="I1" s="1178" t="s">
        <v>33</v>
      </c>
      <c r="J1" s="1178"/>
      <c r="K1" s="1178"/>
      <c r="L1" s="1178"/>
    </row>
    <row r="2" spans="1:37" ht="31.5" customHeight="1">
      <c r="A2" s="130" t="s">
        <v>0</v>
      </c>
      <c r="B2" s="130" t="s">
        <v>2</v>
      </c>
      <c r="C2" s="27" t="s">
        <v>26</v>
      </c>
      <c r="D2" s="27" t="s">
        <v>27</v>
      </c>
      <c r="E2" s="195" t="s">
        <v>29</v>
      </c>
      <c r="F2" s="195" t="s">
        <v>30</v>
      </c>
      <c r="G2" s="195" t="s">
        <v>31</v>
      </c>
      <c r="H2" s="195" t="s">
        <v>32</v>
      </c>
      <c r="I2" s="115" t="s">
        <v>29</v>
      </c>
      <c r="J2" s="115" t="s">
        <v>34</v>
      </c>
      <c r="K2" s="115" t="s">
        <v>35</v>
      </c>
      <c r="L2" s="115" t="s">
        <v>36</v>
      </c>
      <c r="Q2" s="30" t="s">
        <v>540</v>
      </c>
    </row>
    <row r="3" spans="1:37" ht="31.5" customHeight="1">
      <c r="A3" s="205" t="s">
        <v>302</v>
      </c>
      <c r="B3" s="205"/>
      <c r="C3" s="192">
        <f>Численность!G3</f>
        <v>7885</v>
      </c>
      <c r="D3" s="207">
        <f t="shared" ref="D3:L3" si="0">D4</f>
        <v>3200</v>
      </c>
      <c r="E3" s="207">
        <f t="shared" si="0"/>
        <v>691</v>
      </c>
      <c r="F3" s="207">
        <f t="shared" si="0"/>
        <v>2432</v>
      </c>
      <c r="G3" s="207">
        <f t="shared" si="0"/>
        <v>513</v>
      </c>
      <c r="H3" s="207">
        <f t="shared" si="0"/>
        <v>3636</v>
      </c>
      <c r="I3" s="207">
        <f t="shared" si="0"/>
        <v>703</v>
      </c>
      <c r="J3" s="207">
        <f t="shared" si="0"/>
        <v>2339</v>
      </c>
      <c r="K3" s="207">
        <f t="shared" si="0"/>
        <v>1207</v>
      </c>
      <c r="L3" s="207">
        <f t="shared" si="0"/>
        <v>4249</v>
      </c>
      <c r="M3" s="30">
        <f t="shared" ref="M3:M20" si="1">H3+L3</f>
        <v>7885</v>
      </c>
      <c r="Q3" s="760">
        <f t="shared" ref="Q3:Q52" si="2">ROUND(C3/D3,2)</f>
        <v>2.46</v>
      </c>
    </row>
    <row r="4" spans="1:37" ht="31.5" customHeight="1">
      <c r="A4" s="139"/>
      <c r="B4" s="139" t="s">
        <v>302</v>
      </c>
      <c r="C4" s="49">
        <f>Численность!G4</f>
        <v>7885</v>
      </c>
      <c r="D4" s="131">
        <v>3200</v>
      </c>
      <c r="E4" s="198">
        <v>691</v>
      </c>
      <c r="F4" s="198">
        <v>2432</v>
      </c>
      <c r="G4" s="198">
        <v>513</v>
      </c>
      <c r="H4" s="198">
        <f>E4+F4+G4</f>
        <v>3636</v>
      </c>
      <c r="I4" s="132">
        <v>703</v>
      </c>
      <c r="J4" s="132">
        <v>2339</v>
      </c>
      <c r="K4" s="132">
        <v>1207</v>
      </c>
      <c r="L4" s="132">
        <f>I4+J4+K4</f>
        <v>4249</v>
      </c>
      <c r="M4" s="30">
        <f t="shared" si="1"/>
        <v>7885</v>
      </c>
      <c r="Q4" s="760">
        <f>ROUND(C4/D4,2)</f>
        <v>2.46</v>
      </c>
    </row>
    <row r="5" spans="1:37" ht="16.5" customHeight="1">
      <c r="A5" s="201" t="s">
        <v>299</v>
      </c>
      <c r="B5" s="205"/>
      <c r="C5" s="192">
        <f>Численность!G5</f>
        <v>1736</v>
      </c>
      <c r="D5" s="193">
        <f>SUM(D6:D9)</f>
        <v>589</v>
      </c>
      <c r="E5" s="193">
        <f t="shared" ref="E5:L5" si="3">SUM(E6:E9)</f>
        <v>102</v>
      </c>
      <c r="F5" s="193">
        <f t="shared" si="3"/>
        <v>542</v>
      </c>
      <c r="G5" s="193">
        <f t="shared" si="3"/>
        <v>168</v>
      </c>
      <c r="H5" s="193">
        <f t="shared" si="3"/>
        <v>812</v>
      </c>
      <c r="I5" s="193">
        <f t="shared" si="3"/>
        <v>139</v>
      </c>
      <c r="J5" s="193">
        <f t="shared" si="3"/>
        <v>506</v>
      </c>
      <c r="K5" s="193">
        <f t="shared" si="3"/>
        <v>279</v>
      </c>
      <c r="L5" s="193">
        <f t="shared" si="3"/>
        <v>924</v>
      </c>
      <c r="M5" s="755">
        <f t="shared" si="1"/>
        <v>1736</v>
      </c>
      <c r="Q5" s="760">
        <f t="shared" si="2"/>
        <v>2.95</v>
      </c>
    </row>
    <row r="6" spans="1:37" ht="16.5" customHeight="1">
      <c r="A6" s="171"/>
      <c r="B6" s="200" t="s">
        <v>299</v>
      </c>
      <c r="C6" s="29">
        <f>Численность!G6</f>
        <v>1583</v>
      </c>
      <c r="D6" s="137">
        <v>542</v>
      </c>
      <c r="E6" s="196">
        <v>96</v>
      </c>
      <c r="F6" s="196">
        <v>485</v>
      </c>
      <c r="G6" s="196">
        <v>150</v>
      </c>
      <c r="H6" s="196">
        <f>E6+F6+G6</f>
        <v>731</v>
      </c>
      <c r="I6" s="116">
        <v>129</v>
      </c>
      <c r="J6" s="116">
        <v>473</v>
      </c>
      <c r="K6" s="116">
        <v>250</v>
      </c>
      <c r="L6" s="116">
        <f t="shared" ref="L6:L11" si="4">I6+J6+K6</f>
        <v>852</v>
      </c>
      <c r="M6" s="30">
        <f t="shared" si="1"/>
        <v>1583</v>
      </c>
      <c r="Q6" s="760">
        <f t="shared" si="2"/>
        <v>2.92</v>
      </c>
    </row>
    <row r="7" spans="1:37" ht="18.75" customHeight="1">
      <c r="A7" s="171"/>
      <c r="B7" s="200" t="s">
        <v>225</v>
      </c>
      <c r="C7" s="29">
        <f>Численность!G7</f>
        <v>21</v>
      </c>
      <c r="D7" s="137">
        <v>9</v>
      </c>
      <c r="E7" s="196">
        <v>0</v>
      </c>
      <c r="F7" s="196">
        <v>8</v>
      </c>
      <c r="G7" s="196">
        <v>4</v>
      </c>
      <c r="H7" s="196">
        <f>E7+F7+G7</f>
        <v>12</v>
      </c>
      <c r="I7" s="116">
        <v>0</v>
      </c>
      <c r="J7" s="116">
        <v>1</v>
      </c>
      <c r="K7" s="116">
        <v>8</v>
      </c>
      <c r="L7" s="116">
        <f t="shared" si="4"/>
        <v>9</v>
      </c>
      <c r="M7" s="30">
        <f t="shared" si="1"/>
        <v>21</v>
      </c>
      <c r="Q7" s="760">
        <f t="shared" si="2"/>
        <v>2.33</v>
      </c>
    </row>
    <row r="8" spans="1:37" ht="15" customHeight="1">
      <c r="A8" s="171"/>
      <c r="B8" s="200" t="s">
        <v>301</v>
      </c>
      <c r="C8" s="29">
        <f>Численность!G8</f>
        <v>59</v>
      </c>
      <c r="D8" s="137">
        <v>21</v>
      </c>
      <c r="E8" s="196">
        <v>2</v>
      </c>
      <c r="F8" s="196">
        <v>18</v>
      </c>
      <c r="G8" s="196">
        <v>7</v>
      </c>
      <c r="H8" s="196">
        <f>E8+F8+G8</f>
        <v>27</v>
      </c>
      <c r="I8" s="116">
        <v>6</v>
      </c>
      <c r="J8" s="116">
        <v>15</v>
      </c>
      <c r="K8" s="116">
        <v>11</v>
      </c>
      <c r="L8" s="116">
        <f t="shared" si="4"/>
        <v>32</v>
      </c>
      <c r="M8" s="30">
        <f t="shared" si="1"/>
        <v>59</v>
      </c>
      <c r="Q8" s="760">
        <f t="shared" si="2"/>
        <v>2.81</v>
      </c>
    </row>
    <row r="9" spans="1:37" s="177" customFormat="1" ht="15.75">
      <c r="A9" s="176"/>
      <c r="B9" s="200" t="s">
        <v>300</v>
      </c>
      <c r="C9" s="29">
        <f>Численность!G9</f>
        <v>73</v>
      </c>
      <c r="D9" s="137">
        <v>17</v>
      </c>
      <c r="E9" s="196">
        <v>4</v>
      </c>
      <c r="F9" s="196">
        <v>31</v>
      </c>
      <c r="G9" s="196">
        <v>7</v>
      </c>
      <c r="H9" s="196">
        <f>E9+F9+G9</f>
        <v>42</v>
      </c>
      <c r="I9" s="116">
        <v>4</v>
      </c>
      <c r="J9" s="116">
        <v>17</v>
      </c>
      <c r="K9" s="116">
        <v>10</v>
      </c>
      <c r="L9" s="116">
        <f t="shared" si="4"/>
        <v>31</v>
      </c>
      <c r="M9" s="30">
        <f t="shared" si="1"/>
        <v>73</v>
      </c>
      <c r="N9" s="30"/>
      <c r="O9" s="30"/>
      <c r="P9" s="30"/>
      <c r="Q9" s="760">
        <f t="shared" si="2"/>
        <v>4.29</v>
      </c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</row>
    <row r="10" spans="1:37" ht="15.75">
      <c r="A10" s="184" t="s">
        <v>254</v>
      </c>
      <c r="B10" s="184"/>
      <c r="C10" s="192">
        <f>Численность!G10</f>
        <v>525</v>
      </c>
      <c r="D10" s="193">
        <f>D11+D12</f>
        <v>205</v>
      </c>
      <c r="E10" s="193">
        <f>E11+E12</f>
        <v>48</v>
      </c>
      <c r="F10" s="193">
        <f t="shared" ref="F10:G10" si="5">F11+F12</f>
        <v>177</v>
      </c>
      <c r="G10" s="193">
        <f t="shared" si="5"/>
        <v>32</v>
      </c>
      <c r="H10" s="193">
        <f t="shared" ref="H10:H21" si="6">E10+F10+G10</f>
        <v>257</v>
      </c>
      <c r="I10" s="193">
        <f>I11+I12</f>
        <v>39</v>
      </c>
      <c r="J10" s="193">
        <f t="shared" ref="J10:K10" si="7">J11+J12</f>
        <v>166</v>
      </c>
      <c r="K10" s="193">
        <f t="shared" si="7"/>
        <v>63</v>
      </c>
      <c r="L10" s="193">
        <f t="shared" si="4"/>
        <v>268</v>
      </c>
      <c r="M10" s="755">
        <f t="shared" si="1"/>
        <v>525</v>
      </c>
      <c r="Q10" s="760">
        <f>ROUND(C10/D10,2)</f>
        <v>2.56</v>
      </c>
    </row>
    <row r="11" spans="1:37" ht="15.75">
      <c r="A11" s="108"/>
      <c r="B11" s="102" t="s">
        <v>255</v>
      </c>
      <c r="C11" s="29">
        <f>Численность!G11</f>
        <v>232</v>
      </c>
      <c r="D11" s="137">
        <v>86</v>
      </c>
      <c r="E11" s="196">
        <v>31</v>
      </c>
      <c r="F11" s="196">
        <v>72</v>
      </c>
      <c r="G11" s="196">
        <v>12</v>
      </c>
      <c r="H11" s="196">
        <f t="shared" si="6"/>
        <v>115</v>
      </c>
      <c r="I11" s="116">
        <v>24</v>
      </c>
      <c r="J11" s="116">
        <v>68</v>
      </c>
      <c r="K11" s="116">
        <v>25</v>
      </c>
      <c r="L11" s="116">
        <f t="shared" si="4"/>
        <v>117</v>
      </c>
      <c r="M11" s="30">
        <f t="shared" si="1"/>
        <v>232</v>
      </c>
      <c r="Q11" s="760">
        <f t="shared" si="2"/>
        <v>2.7</v>
      </c>
    </row>
    <row r="12" spans="1:37" ht="15.75">
      <c r="A12" s="213"/>
      <c r="B12" s="214" t="s">
        <v>256</v>
      </c>
      <c r="C12" s="29">
        <f>Численность!G12</f>
        <v>293</v>
      </c>
      <c r="D12" s="137">
        <v>119</v>
      </c>
      <c r="E12" s="196">
        <v>17</v>
      </c>
      <c r="F12" s="196">
        <v>105</v>
      </c>
      <c r="G12" s="196">
        <v>20</v>
      </c>
      <c r="H12" s="196">
        <f t="shared" si="6"/>
        <v>142</v>
      </c>
      <c r="I12" s="116">
        <v>15</v>
      </c>
      <c r="J12" s="116">
        <v>98</v>
      </c>
      <c r="K12" s="116">
        <v>38</v>
      </c>
      <c r="L12" s="116">
        <f>I12+J12+K12</f>
        <v>151</v>
      </c>
      <c r="M12" s="30">
        <f t="shared" si="1"/>
        <v>293</v>
      </c>
      <c r="Q12" s="760">
        <f t="shared" si="2"/>
        <v>2.46</v>
      </c>
    </row>
    <row r="13" spans="1:37" ht="15.75">
      <c r="A13" s="184" t="s">
        <v>257</v>
      </c>
      <c r="B13" s="184"/>
      <c r="C13" s="192">
        <f>Численность!G13</f>
        <v>1107</v>
      </c>
      <c r="D13" s="193">
        <f>D14+D15+D16</f>
        <v>515</v>
      </c>
      <c r="E13" s="193">
        <f>E14+E15+E16</f>
        <v>98</v>
      </c>
      <c r="F13" s="193">
        <f t="shared" ref="F13:L13" si="8">F14+F15+F16</f>
        <v>333</v>
      </c>
      <c r="G13" s="193">
        <f t="shared" si="8"/>
        <v>81</v>
      </c>
      <c r="H13" s="193">
        <f t="shared" si="8"/>
        <v>512</v>
      </c>
      <c r="I13" s="193">
        <f t="shared" si="8"/>
        <v>111</v>
      </c>
      <c r="J13" s="193">
        <f t="shared" si="8"/>
        <v>307</v>
      </c>
      <c r="K13" s="193">
        <f t="shared" si="8"/>
        <v>177</v>
      </c>
      <c r="L13" s="193">
        <f t="shared" si="8"/>
        <v>595</v>
      </c>
      <c r="M13" s="755">
        <f t="shared" si="1"/>
        <v>1107</v>
      </c>
      <c r="Q13" s="760">
        <f t="shared" si="2"/>
        <v>2.15</v>
      </c>
    </row>
    <row r="14" spans="1:37" s="177" customFormat="1" ht="15.75">
      <c r="A14" s="102"/>
      <c r="B14" s="102" t="s">
        <v>258</v>
      </c>
      <c r="C14" s="29">
        <f>Численность!G14</f>
        <v>701</v>
      </c>
      <c r="D14" s="137">
        <v>335</v>
      </c>
      <c r="E14" s="196">
        <v>62</v>
      </c>
      <c r="F14" s="196">
        <v>204</v>
      </c>
      <c r="G14" s="196">
        <v>60</v>
      </c>
      <c r="H14" s="196">
        <f t="shared" si="6"/>
        <v>326</v>
      </c>
      <c r="I14" s="116">
        <v>54</v>
      </c>
      <c r="J14" s="116">
        <v>194</v>
      </c>
      <c r="K14" s="116">
        <v>127</v>
      </c>
      <c r="L14" s="116">
        <f t="shared" ref="L14:L35" si="9">I14+J14+K14</f>
        <v>375</v>
      </c>
      <c r="M14" s="30">
        <f t="shared" si="1"/>
        <v>701</v>
      </c>
      <c r="N14" s="30"/>
      <c r="O14" s="30"/>
      <c r="P14" s="30"/>
      <c r="Q14" s="760">
        <f t="shared" si="2"/>
        <v>2.09</v>
      </c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</row>
    <row r="15" spans="1:37" ht="15.75">
      <c r="A15" s="102"/>
      <c r="B15" s="102" t="s">
        <v>259</v>
      </c>
      <c r="C15" s="29">
        <f>Численность!G15</f>
        <v>87</v>
      </c>
      <c r="D15" s="137">
        <v>40</v>
      </c>
      <c r="E15" s="196">
        <v>8</v>
      </c>
      <c r="F15" s="196">
        <v>23</v>
      </c>
      <c r="G15" s="196">
        <v>10</v>
      </c>
      <c r="H15" s="196">
        <f t="shared" si="6"/>
        <v>41</v>
      </c>
      <c r="I15" s="116">
        <v>16</v>
      </c>
      <c r="J15" s="116">
        <v>15</v>
      </c>
      <c r="K15" s="116">
        <v>15</v>
      </c>
      <c r="L15" s="116">
        <f t="shared" si="9"/>
        <v>46</v>
      </c>
      <c r="M15" s="30">
        <f t="shared" si="1"/>
        <v>87</v>
      </c>
      <c r="Q15" s="760">
        <f t="shared" si="2"/>
        <v>2.1800000000000002</v>
      </c>
    </row>
    <row r="16" spans="1:37" ht="15.75">
      <c r="A16" s="176"/>
      <c r="B16" s="102" t="s">
        <v>260</v>
      </c>
      <c r="C16" s="29">
        <f>Численность!G16</f>
        <v>319</v>
      </c>
      <c r="D16" s="137">
        <v>140</v>
      </c>
      <c r="E16" s="196">
        <v>28</v>
      </c>
      <c r="F16" s="196">
        <v>106</v>
      </c>
      <c r="G16" s="196">
        <v>11</v>
      </c>
      <c r="H16" s="196">
        <f t="shared" si="6"/>
        <v>145</v>
      </c>
      <c r="I16" s="116">
        <v>41</v>
      </c>
      <c r="J16" s="116">
        <v>98</v>
      </c>
      <c r="K16" s="116">
        <v>35</v>
      </c>
      <c r="L16" s="116">
        <f t="shared" si="9"/>
        <v>174</v>
      </c>
      <c r="M16" s="30">
        <f t="shared" si="1"/>
        <v>319</v>
      </c>
      <c r="Q16" s="760">
        <f t="shared" si="2"/>
        <v>2.2799999999999998</v>
      </c>
    </row>
    <row r="17" spans="1:37" ht="15.75">
      <c r="A17" s="184" t="s">
        <v>261</v>
      </c>
      <c r="B17" s="184"/>
      <c r="C17" s="192">
        <f>Численность!G17</f>
        <v>782</v>
      </c>
      <c r="D17" s="193">
        <f>D18+D19</f>
        <v>269</v>
      </c>
      <c r="E17" s="193">
        <f>E18+E19</f>
        <v>57</v>
      </c>
      <c r="F17" s="193">
        <f>F18+F19</f>
        <v>253</v>
      </c>
      <c r="G17" s="193">
        <f>G18+G19</f>
        <v>65</v>
      </c>
      <c r="H17" s="193">
        <f t="shared" si="6"/>
        <v>375</v>
      </c>
      <c r="I17" s="193">
        <f>I18+I19</f>
        <v>57</v>
      </c>
      <c r="J17" s="193">
        <f>J18+J19</f>
        <v>184</v>
      </c>
      <c r="K17" s="193">
        <f>K18+K19</f>
        <v>166</v>
      </c>
      <c r="L17" s="193">
        <f>I17+J17+K17</f>
        <v>407</v>
      </c>
      <c r="M17" s="755">
        <f t="shared" si="1"/>
        <v>782</v>
      </c>
      <c r="Q17" s="760">
        <f t="shared" si="2"/>
        <v>2.91</v>
      </c>
    </row>
    <row r="18" spans="1:37" ht="15.75">
      <c r="A18" s="102"/>
      <c r="B18" s="102" t="s">
        <v>262</v>
      </c>
      <c r="C18" s="29">
        <f>Численность!G18</f>
        <v>606</v>
      </c>
      <c r="D18" s="137">
        <v>196</v>
      </c>
      <c r="E18" s="196">
        <v>46</v>
      </c>
      <c r="F18" s="196">
        <v>198</v>
      </c>
      <c r="G18" s="196">
        <v>47</v>
      </c>
      <c r="H18" s="196">
        <f t="shared" si="6"/>
        <v>291</v>
      </c>
      <c r="I18" s="116">
        <v>47</v>
      </c>
      <c r="J18" s="116">
        <v>150</v>
      </c>
      <c r="K18" s="116">
        <v>118</v>
      </c>
      <c r="L18" s="116">
        <f t="shared" si="9"/>
        <v>315</v>
      </c>
      <c r="M18" s="30">
        <f t="shared" si="1"/>
        <v>606</v>
      </c>
      <c r="Q18" s="760">
        <f t="shared" si="2"/>
        <v>3.09</v>
      </c>
    </row>
    <row r="19" spans="1:37" ht="15.75">
      <c r="A19" s="176"/>
      <c r="B19" s="102" t="s">
        <v>263</v>
      </c>
      <c r="C19" s="29">
        <f>Численность!G19</f>
        <v>176</v>
      </c>
      <c r="D19" s="137">
        <v>73</v>
      </c>
      <c r="E19" s="196">
        <v>11</v>
      </c>
      <c r="F19" s="196">
        <v>55</v>
      </c>
      <c r="G19" s="196">
        <v>18</v>
      </c>
      <c r="H19" s="196">
        <f t="shared" si="6"/>
        <v>84</v>
      </c>
      <c r="I19" s="116">
        <v>10</v>
      </c>
      <c r="J19" s="116">
        <v>34</v>
      </c>
      <c r="K19" s="116">
        <v>48</v>
      </c>
      <c r="L19" s="116">
        <f t="shared" si="9"/>
        <v>92</v>
      </c>
      <c r="M19" s="30">
        <f t="shared" si="1"/>
        <v>176</v>
      </c>
      <c r="Q19" s="760">
        <f t="shared" si="2"/>
        <v>2.41</v>
      </c>
    </row>
    <row r="20" spans="1:37" ht="15.75">
      <c r="A20" s="184" t="s">
        <v>264</v>
      </c>
      <c r="B20" s="184"/>
      <c r="C20" s="192">
        <f>Численность!G20</f>
        <v>480</v>
      </c>
      <c r="D20" s="193">
        <f>D21+D22</f>
        <v>184</v>
      </c>
      <c r="E20" s="193">
        <f>E21+E22</f>
        <v>33</v>
      </c>
      <c r="F20" s="193">
        <f>F21+F22</f>
        <v>128</v>
      </c>
      <c r="G20" s="193">
        <f>G21+G22</f>
        <v>55</v>
      </c>
      <c r="H20" s="193">
        <f>E20+F20+G20</f>
        <v>216</v>
      </c>
      <c r="I20" s="193">
        <f>I21+I22</f>
        <v>34</v>
      </c>
      <c r="J20" s="193">
        <f>J21+J22</f>
        <v>143</v>
      </c>
      <c r="K20" s="193">
        <f>K21+K22</f>
        <v>87</v>
      </c>
      <c r="L20" s="193">
        <f t="shared" si="9"/>
        <v>264</v>
      </c>
      <c r="M20" s="756">
        <f t="shared" si="1"/>
        <v>480</v>
      </c>
      <c r="Q20" s="760">
        <f t="shared" si="2"/>
        <v>2.61</v>
      </c>
    </row>
    <row r="21" spans="1:37" ht="15.75">
      <c r="A21" s="102"/>
      <c r="B21" s="102" t="s">
        <v>265</v>
      </c>
      <c r="C21" s="29">
        <f>Численность!G21</f>
        <v>377</v>
      </c>
      <c r="D21" s="137">
        <v>135</v>
      </c>
      <c r="E21" s="196">
        <v>28</v>
      </c>
      <c r="F21" s="196">
        <v>108</v>
      </c>
      <c r="G21" s="196">
        <v>40</v>
      </c>
      <c r="H21" s="196">
        <f t="shared" si="6"/>
        <v>176</v>
      </c>
      <c r="I21" s="116">
        <v>25</v>
      </c>
      <c r="J21" s="116">
        <v>108</v>
      </c>
      <c r="K21" s="116">
        <v>68</v>
      </c>
      <c r="L21" s="116">
        <f t="shared" si="9"/>
        <v>201</v>
      </c>
      <c r="M21" s="30">
        <f t="shared" ref="M21:M52" si="10">H21+L21</f>
        <v>377</v>
      </c>
      <c r="Q21" s="760">
        <f t="shared" si="2"/>
        <v>2.79</v>
      </c>
    </row>
    <row r="22" spans="1:37" s="194" customFormat="1" ht="15.75">
      <c r="A22" s="212"/>
      <c r="B22" s="102" t="s">
        <v>266</v>
      </c>
      <c r="C22" s="29">
        <f>Численность!G22</f>
        <v>103</v>
      </c>
      <c r="D22" s="137">
        <v>49</v>
      </c>
      <c r="E22" s="196">
        <v>5</v>
      </c>
      <c r="F22" s="196">
        <v>20</v>
      </c>
      <c r="G22" s="196">
        <v>15</v>
      </c>
      <c r="H22" s="196">
        <f>E22+F22+G22</f>
        <v>40</v>
      </c>
      <c r="I22" s="116">
        <v>9</v>
      </c>
      <c r="J22" s="116">
        <v>35</v>
      </c>
      <c r="K22" s="116">
        <v>19</v>
      </c>
      <c r="L22" s="116">
        <f>I22+J22+K22</f>
        <v>63</v>
      </c>
      <c r="M22" s="30">
        <f t="shared" si="10"/>
        <v>103</v>
      </c>
      <c r="Q22" s="760">
        <f t="shared" si="2"/>
        <v>2.1</v>
      </c>
    </row>
    <row r="23" spans="1:37" ht="15.75">
      <c r="A23" s="184" t="s">
        <v>267</v>
      </c>
      <c r="B23" s="184"/>
      <c r="C23" s="192">
        <f>Численность!G23</f>
        <v>551</v>
      </c>
      <c r="D23" s="192">
        <f>D24+D25+D26</f>
        <v>185</v>
      </c>
      <c r="E23" s="192">
        <f t="shared" ref="E23:L23" si="11">E24+E25+E26</f>
        <v>49</v>
      </c>
      <c r="F23" s="192">
        <f t="shared" si="11"/>
        <v>179</v>
      </c>
      <c r="G23" s="192">
        <f t="shared" si="11"/>
        <v>34</v>
      </c>
      <c r="H23" s="192">
        <f>H24+H25+H26</f>
        <v>262</v>
      </c>
      <c r="I23" s="192">
        <f t="shared" si="11"/>
        <v>53</v>
      </c>
      <c r="J23" s="192">
        <f t="shared" si="11"/>
        <v>150</v>
      </c>
      <c r="K23" s="192">
        <f t="shared" si="11"/>
        <v>86</v>
      </c>
      <c r="L23" s="192">
        <f t="shared" si="11"/>
        <v>289</v>
      </c>
      <c r="M23" s="757">
        <f t="shared" si="10"/>
        <v>551</v>
      </c>
      <c r="N23" s="30">
        <v>551</v>
      </c>
      <c r="Q23" s="760">
        <f t="shared" si="2"/>
        <v>2.98</v>
      </c>
    </row>
    <row r="24" spans="1:37" ht="15.75">
      <c r="A24" s="102"/>
      <c r="B24" s="102" t="s">
        <v>268</v>
      </c>
      <c r="C24" s="29">
        <f>Численность!G24</f>
        <v>402</v>
      </c>
      <c r="D24" s="137">
        <v>133</v>
      </c>
      <c r="E24" s="728">
        <v>38</v>
      </c>
      <c r="F24" s="196">
        <v>127</v>
      </c>
      <c r="G24" s="196">
        <v>28</v>
      </c>
      <c r="H24" s="196">
        <f>E24+F24+G24</f>
        <v>193</v>
      </c>
      <c r="I24" s="116">
        <v>42</v>
      </c>
      <c r="J24" s="116">
        <v>104</v>
      </c>
      <c r="K24" s="116">
        <v>63</v>
      </c>
      <c r="L24" s="116">
        <f>I24+J24+K24</f>
        <v>209</v>
      </c>
      <c r="M24" s="30">
        <f t="shared" si="10"/>
        <v>402</v>
      </c>
      <c r="N24" s="30">
        <v>402</v>
      </c>
      <c r="Q24" s="760">
        <f t="shared" si="2"/>
        <v>3.02</v>
      </c>
    </row>
    <row r="25" spans="1:37" ht="15.75">
      <c r="A25" s="727"/>
      <c r="B25" s="102" t="s">
        <v>269</v>
      </c>
      <c r="C25" s="29">
        <f>Численность!G25</f>
        <v>87</v>
      </c>
      <c r="D25" s="137">
        <v>26</v>
      </c>
      <c r="E25" s="196">
        <v>11</v>
      </c>
      <c r="F25" s="728">
        <v>26</v>
      </c>
      <c r="G25" s="196">
        <v>4</v>
      </c>
      <c r="H25" s="196">
        <f>E25+F25+G25</f>
        <v>41</v>
      </c>
      <c r="I25" s="729">
        <v>10</v>
      </c>
      <c r="J25" s="116">
        <v>27</v>
      </c>
      <c r="K25" s="116">
        <v>9</v>
      </c>
      <c r="L25" s="116">
        <f t="shared" si="9"/>
        <v>46</v>
      </c>
      <c r="M25" s="30">
        <f t="shared" si="10"/>
        <v>87</v>
      </c>
      <c r="N25" s="30">
        <v>87</v>
      </c>
      <c r="Q25" s="760">
        <f t="shared" si="2"/>
        <v>3.35</v>
      </c>
    </row>
    <row r="26" spans="1:37" ht="15.75">
      <c r="A26" s="176"/>
      <c r="B26" s="102" t="s">
        <v>270</v>
      </c>
      <c r="C26" s="29">
        <f>Численность!G26</f>
        <v>62</v>
      </c>
      <c r="D26" s="137">
        <v>26</v>
      </c>
      <c r="E26" s="196">
        <v>0</v>
      </c>
      <c r="F26" s="196">
        <v>26</v>
      </c>
      <c r="G26" s="196">
        <v>2</v>
      </c>
      <c r="H26" s="196">
        <f t="shared" ref="H26:H52" si="12">E26+F26+G26</f>
        <v>28</v>
      </c>
      <c r="I26" s="116">
        <v>1</v>
      </c>
      <c r="J26" s="729">
        <v>19</v>
      </c>
      <c r="K26" s="116">
        <v>14</v>
      </c>
      <c r="L26" s="116">
        <f t="shared" si="9"/>
        <v>34</v>
      </c>
      <c r="M26" s="30">
        <f t="shared" si="10"/>
        <v>62</v>
      </c>
      <c r="N26" s="30">
        <v>62</v>
      </c>
      <c r="Q26" s="760">
        <f t="shared" si="2"/>
        <v>2.38</v>
      </c>
    </row>
    <row r="27" spans="1:37" ht="15.75">
      <c r="A27" s="184" t="s">
        <v>271</v>
      </c>
      <c r="B27" s="184"/>
      <c r="C27" s="192">
        <f>Численность!G27</f>
        <v>1680</v>
      </c>
      <c r="D27" s="193">
        <f>SUM(D28:D32)</f>
        <v>639</v>
      </c>
      <c r="E27" s="193">
        <f>SUM(E28:E32)</f>
        <v>173</v>
      </c>
      <c r="F27" s="193">
        <f t="shared" ref="F27:L27" si="13">SUM(F28:F32)</f>
        <v>571</v>
      </c>
      <c r="G27" s="193">
        <f t="shared" si="13"/>
        <v>107</v>
      </c>
      <c r="H27" s="193">
        <f t="shared" si="13"/>
        <v>851</v>
      </c>
      <c r="I27" s="193">
        <f t="shared" si="13"/>
        <v>152</v>
      </c>
      <c r="J27" s="193">
        <f t="shared" si="13"/>
        <v>480</v>
      </c>
      <c r="K27" s="193">
        <f t="shared" si="13"/>
        <v>197</v>
      </c>
      <c r="L27" s="193">
        <f t="shared" si="13"/>
        <v>829</v>
      </c>
      <c r="M27" s="755">
        <f t="shared" si="10"/>
        <v>1680</v>
      </c>
      <c r="N27" s="30" t="s">
        <v>297</v>
      </c>
      <c r="Q27" s="760">
        <f t="shared" si="2"/>
        <v>2.63</v>
      </c>
    </row>
    <row r="28" spans="1:37" ht="15.75">
      <c r="A28" s="102"/>
      <c r="B28" s="102" t="s">
        <v>272</v>
      </c>
      <c r="C28" s="29">
        <f>Численность!G28</f>
        <v>566</v>
      </c>
      <c r="D28" s="137">
        <v>193</v>
      </c>
      <c r="E28" s="196">
        <v>53</v>
      </c>
      <c r="F28" s="196">
        <v>208</v>
      </c>
      <c r="G28" s="196">
        <v>24</v>
      </c>
      <c r="H28" s="196">
        <f t="shared" si="12"/>
        <v>285</v>
      </c>
      <c r="I28" s="116">
        <v>49</v>
      </c>
      <c r="J28" s="116">
        <v>173</v>
      </c>
      <c r="K28" s="116">
        <v>59</v>
      </c>
      <c r="L28" s="116">
        <f t="shared" si="9"/>
        <v>281</v>
      </c>
      <c r="M28" s="30">
        <f t="shared" si="10"/>
        <v>566</v>
      </c>
      <c r="Q28" s="760">
        <f t="shared" si="2"/>
        <v>2.93</v>
      </c>
    </row>
    <row r="29" spans="1:37" ht="15.75">
      <c r="A29" s="102"/>
      <c r="B29" s="102" t="s">
        <v>273</v>
      </c>
      <c r="C29" s="29">
        <f>Численность!G29</f>
        <v>147</v>
      </c>
      <c r="D29" s="137">
        <v>46</v>
      </c>
      <c r="E29" s="196">
        <v>19</v>
      </c>
      <c r="F29" s="196">
        <v>50</v>
      </c>
      <c r="G29" s="196">
        <v>6</v>
      </c>
      <c r="H29" s="196">
        <f t="shared" si="12"/>
        <v>75</v>
      </c>
      <c r="I29" s="116">
        <v>19</v>
      </c>
      <c r="J29" s="116">
        <v>41</v>
      </c>
      <c r="K29" s="116">
        <v>12</v>
      </c>
      <c r="L29" s="116">
        <f t="shared" si="9"/>
        <v>72</v>
      </c>
      <c r="M29" s="30">
        <f t="shared" si="10"/>
        <v>147</v>
      </c>
      <c r="Q29" s="760">
        <f t="shared" si="2"/>
        <v>3.2</v>
      </c>
    </row>
    <row r="30" spans="1:37" ht="15.75">
      <c r="A30" s="102"/>
      <c r="B30" s="102" t="s">
        <v>274</v>
      </c>
      <c r="C30" s="29">
        <f>Численность!G30</f>
        <v>501</v>
      </c>
      <c r="D30" s="137">
        <v>176</v>
      </c>
      <c r="E30" s="196">
        <v>57</v>
      </c>
      <c r="F30" s="196">
        <v>167</v>
      </c>
      <c r="G30" s="196">
        <v>29</v>
      </c>
      <c r="H30" s="196">
        <f t="shared" si="12"/>
        <v>253</v>
      </c>
      <c r="I30" s="116">
        <v>51</v>
      </c>
      <c r="J30" s="116">
        <v>142</v>
      </c>
      <c r="K30" s="116">
        <v>55</v>
      </c>
      <c r="L30" s="116">
        <f t="shared" si="9"/>
        <v>248</v>
      </c>
      <c r="M30" s="30">
        <f t="shared" si="10"/>
        <v>501</v>
      </c>
      <c r="Q30" s="760">
        <f t="shared" si="2"/>
        <v>2.85</v>
      </c>
    </row>
    <row r="31" spans="1:37" s="177" customFormat="1" ht="15.75" customHeight="1">
      <c r="A31" s="102"/>
      <c r="B31" s="102" t="s">
        <v>275</v>
      </c>
      <c r="C31" s="29">
        <f>Численность!G31</f>
        <v>382</v>
      </c>
      <c r="D31" s="137">
        <v>187</v>
      </c>
      <c r="E31" s="196">
        <v>39</v>
      </c>
      <c r="F31" s="196">
        <v>116</v>
      </c>
      <c r="G31" s="196">
        <v>40</v>
      </c>
      <c r="H31" s="196">
        <f t="shared" si="12"/>
        <v>195</v>
      </c>
      <c r="I31" s="116">
        <v>31</v>
      </c>
      <c r="J31" s="116">
        <v>96</v>
      </c>
      <c r="K31" s="116">
        <v>60</v>
      </c>
      <c r="L31" s="116">
        <f t="shared" si="9"/>
        <v>187</v>
      </c>
      <c r="M31" s="30">
        <f t="shared" si="10"/>
        <v>382</v>
      </c>
      <c r="N31" s="30"/>
      <c r="O31" s="30"/>
      <c r="P31" s="30"/>
      <c r="Q31" s="760">
        <f t="shared" si="2"/>
        <v>2.04</v>
      </c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</row>
    <row r="32" spans="1:37" ht="15.75" customHeight="1">
      <c r="A32" s="212"/>
      <c r="B32" s="102" t="s">
        <v>276</v>
      </c>
      <c r="C32" s="29">
        <f>Численность!G32</f>
        <v>84</v>
      </c>
      <c r="D32" s="137">
        <v>37</v>
      </c>
      <c r="E32" s="196">
        <v>5</v>
      </c>
      <c r="F32" s="196">
        <v>30</v>
      </c>
      <c r="G32" s="196">
        <v>8</v>
      </c>
      <c r="H32" s="196">
        <f t="shared" si="12"/>
        <v>43</v>
      </c>
      <c r="I32" s="116">
        <v>2</v>
      </c>
      <c r="J32" s="116">
        <v>28</v>
      </c>
      <c r="K32" s="116">
        <v>11</v>
      </c>
      <c r="L32" s="116">
        <f t="shared" si="9"/>
        <v>41</v>
      </c>
      <c r="M32" s="30">
        <f t="shared" si="10"/>
        <v>84</v>
      </c>
      <c r="Q32" s="760">
        <f t="shared" si="2"/>
        <v>2.27</v>
      </c>
    </row>
    <row r="33" spans="1:37" ht="15.75">
      <c r="A33" s="184" t="s">
        <v>277</v>
      </c>
      <c r="B33" s="184"/>
      <c r="C33" s="192">
        <f>Численность!G33</f>
        <v>933</v>
      </c>
      <c r="D33" s="193">
        <f>SUM(D34:D38)</f>
        <v>372</v>
      </c>
      <c r="E33" s="193">
        <f t="shared" ref="E33:L33" si="14">SUM(E34:E38)</f>
        <v>59</v>
      </c>
      <c r="F33" s="193">
        <f t="shared" si="14"/>
        <v>359</v>
      </c>
      <c r="G33" s="193">
        <f t="shared" si="14"/>
        <v>67</v>
      </c>
      <c r="H33" s="193">
        <f t="shared" si="14"/>
        <v>485</v>
      </c>
      <c r="I33" s="193">
        <f t="shared" si="14"/>
        <v>46</v>
      </c>
      <c r="J33" s="193">
        <f t="shared" si="14"/>
        <v>250</v>
      </c>
      <c r="K33" s="193">
        <f t="shared" si="14"/>
        <v>152</v>
      </c>
      <c r="L33" s="193">
        <f t="shared" si="14"/>
        <v>448</v>
      </c>
      <c r="M33" s="755">
        <f t="shared" si="10"/>
        <v>933</v>
      </c>
      <c r="Q33" s="760">
        <f t="shared" si="2"/>
        <v>2.5099999999999998</v>
      </c>
    </row>
    <row r="34" spans="1:37" ht="15.75">
      <c r="A34" s="102"/>
      <c r="B34" s="102" t="s">
        <v>278</v>
      </c>
      <c r="C34" s="29">
        <f>Численность!G34</f>
        <v>492</v>
      </c>
      <c r="D34" s="137">
        <v>190</v>
      </c>
      <c r="E34" s="196">
        <v>29</v>
      </c>
      <c r="F34" s="196">
        <v>189</v>
      </c>
      <c r="G34" s="196">
        <v>27</v>
      </c>
      <c r="H34" s="196">
        <f t="shared" si="12"/>
        <v>245</v>
      </c>
      <c r="I34" s="116">
        <v>28</v>
      </c>
      <c r="J34" s="116">
        <v>129</v>
      </c>
      <c r="K34" s="116">
        <v>90</v>
      </c>
      <c r="L34" s="116">
        <f t="shared" si="9"/>
        <v>247</v>
      </c>
      <c r="M34" s="30">
        <f t="shared" si="10"/>
        <v>492</v>
      </c>
      <c r="Q34" s="760">
        <f t="shared" si="2"/>
        <v>2.59</v>
      </c>
    </row>
    <row r="35" spans="1:37" ht="15.75">
      <c r="A35" s="102"/>
      <c r="B35" s="102" t="s">
        <v>279</v>
      </c>
      <c r="C35" s="29">
        <f>Численность!G35</f>
        <v>134</v>
      </c>
      <c r="D35" s="137">
        <v>59</v>
      </c>
      <c r="E35" s="196">
        <v>10</v>
      </c>
      <c r="F35" s="196">
        <v>44</v>
      </c>
      <c r="G35" s="196">
        <v>16</v>
      </c>
      <c r="H35" s="196">
        <f t="shared" si="12"/>
        <v>70</v>
      </c>
      <c r="I35" s="116">
        <v>5</v>
      </c>
      <c r="J35" s="116">
        <v>34</v>
      </c>
      <c r="K35" s="116">
        <v>25</v>
      </c>
      <c r="L35" s="116">
        <f t="shared" si="9"/>
        <v>64</v>
      </c>
      <c r="M35" s="30">
        <f t="shared" si="10"/>
        <v>134</v>
      </c>
      <c r="Q35" s="760">
        <f t="shared" si="2"/>
        <v>2.27</v>
      </c>
    </row>
    <row r="36" spans="1:37" ht="15.75">
      <c r="A36" s="102"/>
      <c r="B36" s="102" t="s">
        <v>280</v>
      </c>
      <c r="C36" s="29">
        <f>Численность!G36</f>
        <v>134</v>
      </c>
      <c r="D36" s="137">
        <v>48</v>
      </c>
      <c r="E36" s="196">
        <v>10</v>
      </c>
      <c r="F36" s="196">
        <v>51</v>
      </c>
      <c r="G36" s="196">
        <v>11</v>
      </c>
      <c r="H36" s="196">
        <f t="shared" si="12"/>
        <v>72</v>
      </c>
      <c r="I36" s="116">
        <v>6</v>
      </c>
      <c r="J36" s="116">
        <v>40</v>
      </c>
      <c r="K36" s="116">
        <v>16</v>
      </c>
      <c r="L36" s="116">
        <f t="shared" ref="L36:L52" si="15">I36+J36+K36</f>
        <v>62</v>
      </c>
      <c r="M36" s="30">
        <f t="shared" si="10"/>
        <v>134</v>
      </c>
      <c r="Q36" s="760">
        <f t="shared" si="2"/>
        <v>2.79</v>
      </c>
    </row>
    <row r="37" spans="1:37" ht="15.75">
      <c r="A37" s="102"/>
      <c r="B37" s="102" t="s">
        <v>281</v>
      </c>
      <c r="C37" s="29">
        <f>Численность!G37</f>
        <v>21</v>
      </c>
      <c r="D37" s="137">
        <v>9</v>
      </c>
      <c r="E37" s="196">
        <v>1</v>
      </c>
      <c r="F37" s="196">
        <v>9</v>
      </c>
      <c r="G37" s="196">
        <v>1</v>
      </c>
      <c r="H37" s="196">
        <f t="shared" si="12"/>
        <v>11</v>
      </c>
      <c r="I37" s="116">
        <v>1</v>
      </c>
      <c r="J37" s="116">
        <v>8</v>
      </c>
      <c r="K37" s="116">
        <v>1</v>
      </c>
      <c r="L37" s="116">
        <f t="shared" si="15"/>
        <v>10</v>
      </c>
      <c r="M37" s="30">
        <f t="shared" si="10"/>
        <v>21</v>
      </c>
      <c r="Q37" s="760">
        <f t="shared" si="2"/>
        <v>2.33</v>
      </c>
    </row>
    <row r="38" spans="1:37" s="194" customFormat="1" ht="15.75">
      <c r="A38" s="212"/>
      <c r="B38" s="102" t="s">
        <v>282</v>
      </c>
      <c r="C38" s="29">
        <f>Численность!G38</f>
        <v>152</v>
      </c>
      <c r="D38" s="137">
        <v>66</v>
      </c>
      <c r="E38" s="196">
        <v>9</v>
      </c>
      <c r="F38" s="196">
        <v>66</v>
      </c>
      <c r="G38" s="196">
        <v>12</v>
      </c>
      <c r="H38" s="196">
        <f t="shared" si="12"/>
        <v>87</v>
      </c>
      <c r="I38" s="116">
        <v>6</v>
      </c>
      <c r="J38" s="116">
        <v>39</v>
      </c>
      <c r="K38" s="116">
        <v>20</v>
      </c>
      <c r="L38" s="116">
        <f t="shared" si="15"/>
        <v>65</v>
      </c>
      <c r="M38" s="30">
        <f t="shared" si="10"/>
        <v>152</v>
      </c>
      <c r="Q38" s="760">
        <f t="shared" si="2"/>
        <v>2.2999999999999998</v>
      </c>
    </row>
    <row r="39" spans="1:37" s="177" customFormat="1" ht="15.75">
      <c r="A39" s="184" t="s">
        <v>283</v>
      </c>
      <c r="B39" s="184"/>
      <c r="C39" s="192">
        <f>Численность!G39</f>
        <v>1044</v>
      </c>
      <c r="D39" s="197">
        <f t="shared" ref="D39:L39" si="16">SUM(D40:D43)</f>
        <v>341</v>
      </c>
      <c r="E39" s="197">
        <f t="shared" si="16"/>
        <v>111</v>
      </c>
      <c r="F39" s="197">
        <f t="shared" si="16"/>
        <v>313</v>
      </c>
      <c r="G39" s="197">
        <f t="shared" si="16"/>
        <v>54</v>
      </c>
      <c r="H39" s="197">
        <f t="shared" si="16"/>
        <v>478</v>
      </c>
      <c r="I39" s="197">
        <f t="shared" si="16"/>
        <v>108</v>
      </c>
      <c r="J39" s="197">
        <f t="shared" si="16"/>
        <v>349</v>
      </c>
      <c r="K39" s="197">
        <f t="shared" si="16"/>
        <v>109</v>
      </c>
      <c r="L39" s="197">
        <f t="shared" si="16"/>
        <v>566</v>
      </c>
      <c r="M39" s="755">
        <f t="shared" si="10"/>
        <v>1044</v>
      </c>
      <c r="N39" s="30"/>
      <c r="O39" s="30"/>
      <c r="P39" s="30"/>
      <c r="Q39" s="760">
        <f t="shared" si="2"/>
        <v>3.06</v>
      </c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</row>
    <row r="40" spans="1:37" ht="15.75">
      <c r="A40" s="102"/>
      <c r="B40" s="102" t="s">
        <v>284</v>
      </c>
      <c r="C40" s="29">
        <f>Численность!G40</f>
        <v>678</v>
      </c>
      <c r="D40" s="131">
        <f>219+2</f>
        <v>221</v>
      </c>
      <c r="E40" s="198">
        <f>58+2</f>
        <v>60</v>
      </c>
      <c r="F40" s="198">
        <f>196+4</f>
        <v>200</v>
      </c>
      <c r="G40" s="198">
        <f>36</f>
        <v>36</v>
      </c>
      <c r="H40" s="196">
        <f>E40+F40+G40</f>
        <v>296</v>
      </c>
      <c r="I40" s="132">
        <v>73</v>
      </c>
      <c r="J40" s="132">
        <f>229+1</f>
        <v>230</v>
      </c>
      <c r="K40" s="132">
        <v>79</v>
      </c>
      <c r="L40" s="116">
        <f t="shared" si="15"/>
        <v>382</v>
      </c>
      <c r="M40" s="30">
        <f t="shared" si="10"/>
        <v>678</v>
      </c>
      <c r="Q40" s="760">
        <f t="shared" si="2"/>
        <v>3.07</v>
      </c>
    </row>
    <row r="41" spans="1:37" ht="15.75">
      <c r="A41" s="102"/>
      <c r="B41" s="102" t="s">
        <v>285</v>
      </c>
      <c r="C41" s="29">
        <f>Численность!G41</f>
        <v>291</v>
      </c>
      <c r="D41" s="131">
        <v>88</v>
      </c>
      <c r="E41" s="198">
        <v>39</v>
      </c>
      <c r="F41" s="198">
        <v>91</v>
      </c>
      <c r="G41" s="198">
        <v>15</v>
      </c>
      <c r="H41" s="196">
        <f t="shared" si="12"/>
        <v>145</v>
      </c>
      <c r="I41" s="132">
        <v>28</v>
      </c>
      <c r="J41" s="132">
        <v>95</v>
      </c>
      <c r="K41" s="132">
        <v>23</v>
      </c>
      <c r="L41" s="116">
        <f t="shared" si="15"/>
        <v>146</v>
      </c>
      <c r="M41" s="30">
        <f t="shared" si="10"/>
        <v>291</v>
      </c>
      <c r="Q41" s="760">
        <f t="shared" si="2"/>
        <v>3.31</v>
      </c>
    </row>
    <row r="42" spans="1:37" ht="15.75">
      <c r="A42" s="102"/>
      <c r="B42" s="102" t="s">
        <v>286</v>
      </c>
      <c r="C42" s="29">
        <f>Численность!G42</f>
        <v>73</v>
      </c>
      <c r="D42" s="131">
        <v>30</v>
      </c>
      <c r="E42" s="198">
        <v>12</v>
      </c>
      <c r="F42" s="198">
        <v>21</v>
      </c>
      <c r="G42" s="198">
        <v>3</v>
      </c>
      <c r="H42" s="196">
        <f t="shared" si="12"/>
        <v>36</v>
      </c>
      <c r="I42" s="132">
        <v>7</v>
      </c>
      <c r="J42" s="132">
        <v>23</v>
      </c>
      <c r="K42" s="132">
        <v>7</v>
      </c>
      <c r="L42" s="116">
        <f t="shared" si="15"/>
        <v>37</v>
      </c>
      <c r="M42" s="30">
        <f t="shared" si="10"/>
        <v>73</v>
      </c>
      <c r="Q42" s="760">
        <f t="shared" si="2"/>
        <v>2.4300000000000002</v>
      </c>
    </row>
    <row r="43" spans="1:37" ht="15.75">
      <c r="A43" s="102"/>
      <c r="B43" s="102" t="s">
        <v>287</v>
      </c>
      <c r="C43" s="29">
        <f>Численность!G43</f>
        <v>2</v>
      </c>
      <c r="D43" s="131">
        <v>2</v>
      </c>
      <c r="E43" s="198">
        <v>0</v>
      </c>
      <c r="F43" s="198">
        <v>1</v>
      </c>
      <c r="G43" s="198">
        <v>0</v>
      </c>
      <c r="H43" s="196">
        <f t="shared" si="12"/>
        <v>1</v>
      </c>
      <c r="I43" s="132">
        <v>0</v>
      </c>
      <c r="J43" s="132">
        <v>1</v>
      </c>
      <c r="K43" s="132">
        <v>0</v>
      </c>
      <c r="L43" s="116">
        <f t="shared" si="15"/>
        <v>1</v>
      </c>
      <c r="M43" s="30">
        <f t="shared" si="10"/>
        <v>2</v>
      </c>
      <c r="Q43" s="760">
        <f t="shared" si="2"/>
        <v>1</v>
      </c>
    </row>
    <row r="44" spans="1:37" ht="15.75">
      <c r="A44" s="184" t="s">
        <v>288</v>
      </c>
      <c r="B44" s="184"/>
      <c r="C44" s="192">
        <f>Численность!G44</f>
        <v>1050</v>
      </c>
      <c r="D44" s="197">
        <f>D45+D46+D47</f>
        <v>386</v>
      </c>
      <c r="E44" s="197">
        <f t="shared" ref="E44:L44" si="17">E45+E46+E47</f>
        <v>87</v>
      </c>
      <c r="F44" s="197">
        <f t="shared" si="17"/>
        <v>367</v>
      </c>
      <c r="G44" s="197">
        <f t="shared" si="17"/>
        <v>69</v>
      </c>
      <c r="H44" s="197">
        <f t="shared" si="17"/>
        <v>523</v>
      </c>
      <c r="I44" s="197">
        <f t="shared" si="17"/>
        <v>63</v>
      </c>
      <c r="J44" s="197">
        <f t="shared" si="17"/>
        <v>302</v>
      </c>
      <c r="K44" s="197">
        <f t="shared" si="17"/>
        <v>162</v>
      </c>
      <c r="L44" s="197">
        <f t="shared" si="17"/>
        <v>527</v>
      </c>
      <c r="M44" s="755">
        <f t="shared" si="10"/>
        <v>1050</v>
      </c>
      <c r="Q44" s="760">
        <f t="shared" si="2"/>
        <v>2.72</v>
      </c>
    </row>
    <row r="45" spans="1:37" ht="15.75">
      <c r="A45" s="102"/>
      <c r="B45" s="102" t="s">
        <v>289</v>
      </c>
      <c r="C45" s="29">
        <f>Численность!G45</f>
        <v>808</v>
      </c>
      <c r="D45" s="131">
        <v>305</v>
      </c>
      <c r="E45" s="198">
        <v>69</v>
      </c>
      <c r="F45" s="198">
        <v>280</v>
      </c>
      <c r="G45" s="198">
        <v>57</v>
      </c>
      <c r="H45" s="196">
        <f t="shared" si="12"/>
        <v>406</v>
      </c>
      <c r="I45" s="132">
        <v>37</v>
      </c>
      <c r="J45" s="132">
        <v>236</v>
      </c>
      <c r="K45" s="132">
        <v>129</v>
      </c>
      <c r="L45" s="116">
        <f t="shared" si="15"/>
        <v>402</v>
      </c>
      <c r="M45" s="30">
        <f t="shared" si="10"/>
        <v>808</v>
      </c>
      <c r="Q45" s="760">
        <f t="shared" si="2"/>
        <v>2.65</v>
      </c>
    </row>
    <row r="46" spans="1:37" ht="15.75">
      <c r="A46" s="102"/>
      <c r="B46" s="102" t="s">
        <v>290</v>
      </c>
      <c r="C46" s="29">
        <f>Численность!G46</f>
        <v>59</v>
      </c>
      <c r="D46" s="131">
        <v>24</v>
      </c>
      <c r="E46" s="198">
        <v>2</v>
      </c>
      <c r="F46" s="198">
        <v>23</v>
      </c>
      <c r="G46" s="198">
        <v>3</v>
      </c>
      <c r="H46" s="196">
        <f t="shared" si="12"/>
        <v>28</v>
      </c>
      <c r="I46" s="132">
        <v>5</v>
      </c>
      <c r="J46" s="132">
        <v>20</v>
      </c>
      <c r="K46" s="132">
        <v>6</v>
      </c>
      <c r="L46" s="116">
        <f t="shared" si="15"/>
        <v>31</v>
      </c>
      <c r="M46" s="30">
        <f t="shared" si="10"/>
        <v>59</v>
      </c>
      <c r="Q46" s="760">
        <f t="shared" si="2"/>
        <v>2.46</v>
      </c>
    </row>
    <row r="47" spans="1:37" ht="15.75">
      <c r="A47" s="176"/>
      <c r="B47" s="102" t="s">
        <v>291</v>
      </c>
      <c r="C47" s="29">
        <f>Численность!G47</f>
        <v>183</v>
      </c>
      <c r="D47" s="131">
        <v>57</v>
      </c>
      <c r="E47" s="198">
        <v>16</v>
      </c>
      <c r="F47" s="198">
        <v>64</v>
      </c>
      <c r="G47" s="198">
        <v>9</v>
      </c>
      <c r="H47" s="196">
        <f t="shared" si="12"/>
        <v>89</v>
      </c>
      <c r="I47" s="132">
        <v>21</v>
      </c>
      <c r="J47" s="132">
        <v>46</v>
      </c>
      <c r="K47" s="132">
        <v>27</v>
      </c>
      <c r="L47" s="116">
        <f t="shared" si="15"/>
        <v>94</v>
      </c>
      <c r="M47" s="30">
        <f t="shared" si="10"/>
        <v>183</v>
      </c>
      <c r="Q47" s="760">
        <f t="shared" si="2"/>
        <v>3.21</v>
      </c>
    </row>
    <row r="48" spans="1:37" ht="15.75">
      <c r="A48" s="184" t="s">
        <v>292</v>
      </c>
      <c r="B48" s="184"/>
      <c r="C48" s="192">
        <f>Численность!G48</f>
        <v>1178</v>
      </c>
      <c r="D48" s="206">
        <f>SUM(D49:D52)</f>
        <v>404</v>
      </c>
      <c r="E48" s="206">
        <f t="shared" ref="E48:L48" si="18">SUM(E49:E52)</f>
        <v>119</v>
      </c>
      <c r="F48" s="206">
        <f t="shared" si="18"/>
        <v>318</v>
      </c>
      <c r="G48" s="206">
        <f t="shared" si="18"/>
        <v>106</v>
      </c>
      <c r="H48" s="206">
        <f t="shared" si="18"/>
        <v>543</v>
      </c>
      <c r="I48" s="206">
        <f t="shared" si="18"/>
        <v>72</v>
      </c>
      <c r="J48" s="206">
        <f t="shared" si="18"/>
        <v>371</v>
      </c>
      <c r="K48" s="206">
        <f t="shared" si="18"/>
        <v>192</v>
      </c>
      <c r="L48" s="206">
        <f t="shared" si="18"/>
        <v>635</v>
      </c>
      <c r="M48" s="755">
        <f t="shared" si="10"/>
        <v>1178</v>
      </c>
      <c r="Q48" s="760">
        <f t="shared" si="2"/>
        <v>2.92</v>
      </c>
    </row>
    <row r="49" spans="1:37" s="179" customFormat="1" ht="15.75">
      <c r="A49" s="102"/>
      <c r="B49" s="102" t="s">
        <v>293</v>
      </c>
      <c r="C49" s="29">
        <f>Численность!G49</f>
        <v>526</v>
      </c>
      <c r="D49" s="131">
        <v>182</v>
      </c>
      <c r="E49" s="198">
        <v>35</v>
      </c>
      <c r="F49" s="198">
        <v>162</v>
      </c>
      <c r="G49" s="198">
        <v>50</v>
      </c>
      <c r="H49" s="198">
        <f t="shared" si="12"/>
        <v>247</v>
      </c>
      <c r="I49" s="132">
        <v>21</v>
      </c>
      <c r="J49" s="747">
        <v>159</v>
      </c>
      <c r="K49" s="132">
        <v>99</v>
      </c>
      <c r="L49" s="132">
        <f t="shared" si="15"/>
        <v>279</v>
      </c>
      <c r="M49" s="30">
        <f t="shared" si="10"/>
        <v>526</v>
      </c>
      <c r="N49" s="178"/>
      <c r="O49" s="178"/>
      <c r="P49" s="178"/>
      <c r="Q49" s="760">
        <f t="shared" si="2"/>
        <v>2.89</v>
      </c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8"/>
      <c r="AC49" s="178"/>
      <c r="AD49" s="178"/>
      <c r="AE49" s="178"/>
      <c r="AF49" s="178"/>
      <c r="AG49" s="178"/>
      <c r="AH49" s="178"/>
      <c r="AI49" s="178"/>
      <c r="AJ49" s="178"/>
      <c r="AK49" s="178"/>
    </row>
    <row r="50" spans="1:37" ht="18" customHeight="1">
      <c r="A50" s="102"/>
      <c r="B50" s="102" t="s">
        <v>294</v>
      </c>
      <c r="C50" s="29">
        <f>Численность!G50</f>
        <v>44</v>
      </c>
      <c r="D50" s="131">
        <v>14</v>
      </c>
      <c r="E50" s="198">
        <v>3</v>
      </c>
      <c r="F50" s="198">
        <v>15</v>
      </c>
      <c r="G50" s="198">
        <v>3</v>
      </c>
      <c r="H50" s="198">
        <f t="shared" si="12"/>
        <v>21</v>
      </c>
      <c r="I50" s="132">
        <v>0</v>
      </c>
      <c r="J50" s="747">
        <v>15</v>
      </c>
      <c r="K50" s="132">
        <v>8</v>
      </c>
      <c r="L50" s="132">
        <f t="shared" si="15"/>
        <v>23</v>
      </c>
      <c r="M50" s="30">
        <f t="shared" si="10"/>
        <v>44</v>
      </c>
      <c r="Q50" s="760">
        <f t="shared" si="2"/>
        <v>3.14</v>
      </c>
    </row>
    <row r="51" spans="1:37" ht="15.75">
      <c r="A51" s="102"/>
      <c r="B51" s="102" t="s">
        <v>295</v>
      </c>
      <c r="C51" s="29">
        <f>Численность!G51</f>
        <v>331</v>
      </c>
      <c r="D51" s="131">
        <v>102</v>
      </c>
      <c r="E51" s="198">
        <v>41</v>
      </c>
      <c r="F51" s="747">
        <v>94</v>
      </c>
      <c r="G51" s="198">
        <v>14</v>
      </c>
      <c r="H51" s="198">
        <f t="shared" si="12"/>
        <v>149</v>
      </c>
      <c r="I51" s="132">
        <v>26</v>
      </c>
      <c r="J51" s="132">
        <v>112</v>
      </c>
      <c r="K51" s="132">
        <v>44</v>
      </c>
      <c r="L51" s="132">
        <f t="shared" si="15"/>
        <v>182</v>
      </c>
      <c r="M51" s="30">
        <f t="shared" si="10"/>
        <v>331</v>
      </c>
      <c r="N51" s="30">
        <f>M49+M50+M51+M52</f>
        <v>1178</v>
      </c>
      <c r="Q51" s="760">
        <f t="shared" si="2"/>
        <v>3.25</v>
      </c>
    </row>
    <row r="52" spans="1:37" s="181" customFormat="1" ht="17.25" customHeight="1">
      <c r="A52" s="209"/>
      <c r="B52" s="102" t="s">
        <v>296</v>
      </c>
      <c r="C52" s="29">
        <f>Численность!G52</f>
        <v>277</v>
      </c>
      <c r="D52" s="131">
        <v>106</v>
      </c>
      <c r="E52" s="198">
        <v>40</v>
      </c>
      <c r="F52" s="198">
        <v>47</v>
      </c>
      <c r="G52" s="747">
        <v>39</v>
      </c>
      <c r="H52" s="198">
        <f t="shared" si="12"/>
        <v>126</v>
      </c>
      <c r="I52" s="132">
        <v>25</v>
      </c>
      <c r="J52" s="132">
        <v>85</v>
      </c>
      <c r="K52" s="132">
        <v>41</v>
      </c>
      <c r="L52" s="132">
        <f t="shared" si="15"/>
        <v>151</v>
      </c>
      <c r="M52" s="30">
        <f t="shared" si="10"/>
        <v>277</v>
      </c>
      <c r="N52" s="180"/>
      <c r="O52" s="180"/>
      <c r="P52" s="180"/>
      <c r="Q52" s="760">
        <f t="shared" si="2"/>
        <v>2.61</v>
      </c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</row>
    <row r="53" spans="1:37" ht="40.5" customHeight="1">
      <c r="A53" s="126" t="s">
        <v>227</v>
      </c>
      <c r="B53" s="127"/>
      <c r="C53" s="211">
        <f t="shared" ref="C53:L53" si="19">C3+C5+C10+C13+C17+C20+C23+C27+C33+C39+C44+C48</f>
        <v>18951</v>
      </c>
      <c r="D53" s="211">
        <f>D3+D5+D10+D13+D17+D20+D23+D27+D33+D39+D44+D48</f>
        <v>7289</v>
      </c>
      <c r="E53" s="211">
        <f t="shared" si="19"/>
        <v>1627</v>
      </c>
      <c r="F53" s="211">
        <f t="shared" si="19"/>
        <v>5972</v>
      </c>
      <c r="G53" s="211">
        <f t="shared" si="19"/>
        <v>1351</v>
      </c>
      <c r="H53" s="211">
        <f t="shared" si="19"/>
        <v>8950</v>
      </c>
      <c r="I53" s="211">
        <f t="shared" si="19"/>
        <v>1577</v>
      </c>
      <c r="J53" s="211">
        <f t="shared" si="19"/>
        <v>5547</v>
      </c>
      <c r="K53" s="211">
        <f t="shared" si="19"/>
        <v>2877</v>
      </c>
      <c r="L53" s="211">
        <f t="shared" si="19"/>
        <v>10001</v>
      </c>
      <c r="Q53" s="760">
        <f>ROUND(C53/D53,2)</f>
        <v>2.6</v>
      </c>
    </row>
    <row r="54" spans="1:37">
      <c r="E54" s="30"/>
      <c r="F54" s="30"/>
      <c r="G54" s="30"/>
      <c r="H54" s="30"/>
      <c r="I54" s="30"/>
      <c r="J54" s="30"/>
      <c r="K54" s="30"/>
      <c r="L54" s="30"/>
    </row>
    <row r="55" spans="1:37">
      <c r="E55" s="329" t="s">
        <v>537</v>
      </c>
      <c r="F55" s="329" t="s">
        <v>538</v>
      </c>
      <c r="G55" s="329" t="s">
        <v>539</v>
      </c>
      <c r="H55" s="30"/>
      <c r="I55" s="30"/>
      <c r="J55" s="30"/>
      <c r="K55" s="30"/>
      <c r="L55" s="30"/>
    </row>
    <row r="56" spans="1:37">
      <c r="C56" s="30">
        <f>ROUND(C53/D53,2)</f>
        <v>2.6</v>
      </c>
      <c r="E56" s="758">
        <f>E53+I53</f>
        <v>3204</v>
      </c>
      <c r="F56" s="758">
        <f t="shared" ref="F56:G56" si="20">F53+J53</f>
        <v>11519</v>
      </c>
      <c r="G56" s="758">
        <f t="shared" si="20"/>
        <v>4228</v>
      </c>
      <c r="H56" s="30"/>
      <c r="I56" s="30"/>
      <c r="J56" s="30"/>
      <c r="K56" s="30"/>
      <c r="L56" s="30"/>
    </row>
    <row r="57" spans="1:37">
      <c r="E57" s="30"/>
      <c r="F57" s="30"/>
      <c r="G57" s="30"/>
      <c r="H57" s="30"/>
      <c r="I57" s="30"/>
      <c r="J57" s="30"/>
      <c r="K57" s="30"/>
      <c r="L57" s="30"/>
    </row>
    <row r="58" spans="1:37">
      <c r="C58" s="210"/>
      <c r="E58" s="30"/>
      <c r="F58" s="225">
        <f>E56+F56+G56</f>
        <v>18951</v>
      </c>
      <c r="G58" s="30"/>
      <c r="H58" s="30"/>
      <c r="I58" s="30"/>
      <c r="J58" s="30"/>
      <c r="K58" s="30"/>
      <c r="L58" s="30"/>
    </row>
    <row r="59" spans="1:37">
      <c r="E59" s="30"/>
      <c r="F59" s="30"/>
      <c r="G59" s="30"/>
      <c r="H59" s="30"/>
      <c r="I59" s="30"/>
      <c r="J59" s="30"/>
      <c r="K59" s="30"/>
      <c r="L59" s="30"/>
    </row>
    <row r="60" spans="1:37">
      <c r="E60" s="30"/>
      <c r="F60" s="30"/>
      <c r="G60" s="30"/>
      <c r="H60" s="30"/>
      <c r="I60" s="30"/>
      <c r="J60" s="30"/>
      <c r="K60" s="30"/>
      <c r="L60" s="30"/>
    </row>
    <row r="61" spans="1:37">
      <c r="E61" s="30"/>
      <c r="F61" s="30"/>
      <c r="G61" s="30"/>
      <c r="H61" s="30"/>
      <c r="I61" s="30"/>
      <c r="J61" s="30"/>
      <c r="K61" s="30"/>
      <c r="L61" s="30"/>
    </row>
    <row r="62" spans="1:37">
      <c r="E62" s="30"/>
      <c r="F62" s="30"/>
      <c r="G62" s="30"/>
      <c r="H62" s="30"/>
      <c r="I62" s="30"/>
      <c r="J62" s="30"/>
      <c r="K62" s="30"/>
      <c r="L62" s="30"/>
    </row>
    <row r="63" spans="1:37">
      <c r="E63" s="30"/>
      <c r="F63" s="30"/>
      <c r="G63" s="30"/>
      <c r="H63" s="30"/>
      <c r="I63" s="30"/>
      <c r="J63" s="30"/>
      <c r="K63" s="30"/>
      <c r="L63" s="30"/>
    </row>
    <row r="64" spans="1:37">
      <c r="E64" s="30"/>
      <c r="F64" s="30"/>
      <c r="G64" s="30"/>
      <c r="H64" s="30"/>
      <c r="I64" s="30"/>
      <c r="J64" s="30"/>
      <c r="K64" s="30"/>
      <c r="L64" s="30"/>
    </row>
    <row r="65" spans="5:12">
      <c r="E65" s="30"/>
      <c r="F65" s="30"/>
      <c r="G65" s="30"/>
      <c r="H65" s="30"/>
      <c r="I65" s="30"/>
      <c r="J65" s="30"/>
      <c r="K65" s="30"/>
      <c r="L65" s="30"/>
    </row>
    <row r="66" spans="5:12">
      <c r="E66" s="30"/>
      <c r="F66" s="30"/>
      <c r="G66" s="30"/>
      <c r="H66" s="30"/>
      <c r="I66" s="30"/>
      <c r="J66" s="30"/>
      <c r="K66" s="30"/>
      <c r="L66" s="30"/>
    </row>
    <row r="67" spans="5:12">
      <c r="E67" s="30"/>
      <c r="F67" s="30"/>
      <c r="G67" s="30"/>
      <c r="H67" s="30"/>
      <c r="I67" s="30"/>
      <c r="J67" s="30"/>
      <c r="K67" s="30"/>
      <c r="L67" s="30"/>
    </row>
    <row r="68" spans="5:12">
      <c r="E68" s="30"/>
      <c r="F68" s="30"/>
      <c r="G68" s="30"/>
      <c r="H68" s="30"/>
      <c r="I68" s="30"/>
      <c r="J68" s="30"/>
      <c r="K68" s="30"/>
      <c r="L68" s="30"/>
    </row>
    <row r="69" spans="5:12">
      <c r="E69" s="30"/>
      <c r="F69" s="30"/>
      <c r="G69" s="30"/>
      <c r="H69" s="30"/>
      <c r="I69" s="30"/>
      <c r="J69" s="30"/>
      <c r="K69" s="30"/>
      <c r="L69" s="30"/>
    </row>
    <row r="70" spans="5:12">
      <c r="E70" s="30"/>
      <c r="F70" s="30"/>
      <c r="G70" s="30"/>
      <c r="H70" s="30"/>
      <c r="I70" s="30"/>
      <c r="J70" s="30"/>
      <c r="K70" s="30"/>
      <c r="L70" s="30"/>
    </row>
    <row r="71" spans="5:12">
      <c r="E71" s="30"/>
      <c r="F71" s="30"/>
      <c r="G71" s="30"/>
      <c r="H71" s="30"/>
      <c r="I71" s="30"/>
      <c r="J71" s="30"/>
      <c r="K71" s="30"/>
      <c r="L71" s="30"/>
    </row>
    <row r="72" spans="5:12">
      <c r="E72" s="30"/>
      <c r="F72" s="30"/>
      <c r="G72" s="30"/>
      <c r="H72" s="30"/>
      <c r="I72" s="30"/>
      <c r="J72" s="30"/>
      <c r="K72" s="30"/>
      <c r="L72" s="30"/>
    </row>
    <row r="73" spans="5:12">
      <c r="E73" s="30"/>
      <c r="F73" s="30"/>
      <c r="G73" s="30"/>
      <c r="H73" s="30"/>
      <c r="I73" s="30"/>
      <c r="J73" s="30"/>
      <c r="K73" s="30"/>
      <c r="L73" s="30"/>
    </row>
    <row r="74" spans="5:12">
      <c r="E74" s="30"/>
      <c r="F74" s="30"/>
      <c r="G74" s="30"/>
      <c r="H74" s="30"/>
      <c r="I74" s="30"/>
      <c r="J74" s="30"/>
      <c r="K74" s="30"/>
      <c r="L74" s="30"/>
    </row>
    <row r="75" spans="5:12">
      <c r="E75" s="30"/>
      <c r="F75" s="30"/>
      <c r="G75" s="30"/>
      <c r="H75" s="30"/>
      <c r="I75" s="30"/>
      <c r="J75" s="30"/>
      <c r="K75" s="30"/>
      <c r="L75" s="30"/>
    </row>
    <row r="76" spans="5:12">
      <c r="E76" s="30"/>
      <c r="F76" s="30"/>
      <c r="G76" s="30"/>
      <c r="H76" s="30"/>
      <c r="I76" s="30"/>
      <c r="J76" s="30"/>
      <c r="K76" s="30"/>
      <c r="L76" s="30"/>
    </row>
    <row r="77" spans="5:12">
      <c r="E77" s="30"/>
      <c r="F77" s="30"/>
      <c r="G77" s="30"/>
      <c r="H77" s="30"/>
      <c r="I77" s="30"/>
      <c r="J77" s="30"/>
      <c r="K77" s="30"/>
      <c r="L77" s="30"/>
    </row>
    <row r="78" spans="5:12">
      <c r="E78" s="30"/>
      <c r="F78" s="30"/>
      <c r="G78" s="30"/>
      <c r="H78" s="30"/>
      <c r="I78" s="30"/>
      <c r="J78" s="30"/>
      <c r="K78" s="30"/>
      <c r="L78" s="30"/>
    </row>
  </sheetData>
  <mergeCells count="2">
    <mergeCell ref="E1:H1"/>
    <mergeCell ref="I1:L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75"/>
  <sheetViews>
    <sheetView topLeftCell="A4" workbookViewId="0">
      <selection activeCell="E110" sqref="E110"/>
    </sheetView>
  </sheetViews>
  <sheetFormatPr defaultRowHeight="15"/>
  <cols>
    <col min="1" max="1" width="27.7109375" style="5" customWidth="1"/>
    <col min="2" max="2" width="9.140625" style="5"/>
    <col min="3" max="3" width="11.5703125" style="5" bestFit="1" customWidth="1"/>
    <col min="4" max="4" width="9.140625" style="5"/>
    <col min="5" max="5" width="15.28515625" style="9" customWidth="1"/>
    <col min="6" max="6" width="12.140625" style="5" bestFit="1" customWidth="1"/>
    <col min="7" max="7" width="17.140625" style="5" customWidth="1"/>
    <col min="8" max="8" width="9.5703125" style="5" customWidth="1"/>
    <col min="9" max="9" width="3.85546875" style="5" customWidth="1"/>
    <col min="10" max="10" width="14.85546875" style="5" customWidth="1"/>
    <col min="11" max="11" width="20.85546875" style="5" customWidth="1"/>
    <col min="12" max="12" width="18.42578125" style="5" customWidth="1"/>
    <col min="13" max="13" width="16.28515625" style="5" customWidth="1"/>
    <col min="14" max="16384" width="9.140625" style="5"/>
  </cols>
  <sheetData>
    <row r="1" spans="1:10">
      <c r="A1" s="22"/>
      <c r="B1" s="22"/>
      <c r="C1" s="22"/>
      <c r="D1" s="22"/>
      <c r="E1" s="30"/>
      <c r="F1" s="22"/>
      <c r="G1" s="22"/>
    </row>
    <row r="2" spans="1:10">
      <c r="A2" s="22" t="s">
        <v>67</v>
      </c>
      <c r="B2" s="22"/>
      <c r="C2" s="22"/>
      <c r="D2" s="22"/>
      <c r="E2" s="30"/>
      <c r="F2" s="22"/>
      <c r="G2" s="22"/>
    </row>
    <row r="3" spans="1:10">
      <c r="A3" s="205" t="s">
        <v>302</v>
      </c>
      <c r="B3" s="22"/>
      <c r="C3" s="22"/>
      <c r="D3" s="22"/>
      <c r="E3" s="30"/>
      <c r="F3" s="22"/>
      <c r="G3" s="22"/>
    </row>
    <row r="4" spans="1:10" ht="45">
      <c r="A4" s="1180" t="s">
        <v>68</v>
      </c>
      <c r="B4" s="1180" t="s">
        <v>69</v>
      </c>
      <c r="C4" s="1180"/>
      <c r="D4" s="1180" t="s">
        <v>70</v>
      </c>
      <c r="E4" s="1180"/>
      <c r="F4" s="208" t="s">
        <v>71</v>
      </c>
      <c r="G4" s="208" t="s">
        <v>72</v>
      </c>
      <c r="H4" s="9"/>
    </row>
    <row r="5" spans="1:10">
      <c r="A5" s="1180"/>
      <c r="B5" s="208" t="s">
        <v>73</v>
      </c>
      <c r="C5" s="208" t="s">
        <v>74</v>
      </c>
      <c r="D5" s="208" t="s">
        <v>73</v>
      </c>
      <c r="E5" s="208" t="s">
        <v>74</v>
      </c>
      <c r="F5" s="208"/>
      <c r="G5" s="208"/>
      <c r="H5" s="9"/>
      <c r="J5" s="51"/>
    </row>
    <row r="6" spans="1:10" ht="30">
      <c r="A6" s="208" t="s">
        <v>75</v>
      </c>
      <c r="B6" s="233">
        <f>'Половозрастн стр-ра'!E3</f>
        <v>691</v>
      </c>
      <c r="C6" s="234">
        <f>B6*100/$B$9</f>
        <v>19.004400440044005</v>
      </c>
      <c r="D6" s="233">
        <f>'Половозрастн стр-ра'!I3</f>
        <v>703</v>
      </c>
      <c r="E6" s="234">
        <f>D6*100/$D$9</f>
        <v>16.545069428100728</v>
      </c>
      <c r="F6" s="208">
        <f>B6+D6</f>
        <v>1394</v>
      </c>
      <c r="G6" s="234">
        <f>F6*100/$F$9</f>
        <v>17.679137603043753</v>
      </c>
      <c r="H6" s="9"/>
    </row>
    <row r="7" spans="1:10" ht="45">
      <c r="A7" s="208" t="s">
        <v>76</v>
      </c>
      <c r="B7" s="233">
        <f>'Половозрастн стр-ра'!F3</f>
        <v>2432</v>
      </c>
      <c r="C7" s="234">
        <f>B7*100/$B$9</f>
        <v>66.886688668866881</v>
      </c>
      <c r="D7" s="233">
        <f>'Половозрастн стр-ра'!J3</f>
        <v>2339</v>
      </c>
      <c r="E7" s="234">
        <f>D7*100/$D$9</f>
        <v>55.04824664626971</v>
      </c>
      <c r="F7" s="208">
        <f>B7+D7</f>
        <v>4771</v>
      </c>
      <c r="G7" s="234">
        <f>F7*100/$F$9</f>
        <v>60.507292327203551</v>
      </c>
      <c r="H7" s="118">
        <f>62*100/225</f>
        <v>27.555555555555557</v>
      </c>
    </row>
    <row r="8" spans="1:10" ht="60">
      <c r="A8" s="208" t="s">
        <v>77</v>
      </c>
      <c r="B8" s="233">
        <f>'Половозрастн стр-ра'!G3</f>
        <v>513</v>
      </c>
      <c r="C8" s="234">
        <f>B8*100/$B$9</f>
        <v>14.108910891089108</v>
      </c>
      <c r="D8" s="233">
        <f>'Половозрастн стр-ра'!K3</f>
        <v>1207</v>
      </c>
      <c r="E8" s="234">
        <f>D8*100/$D$9</f>
        <v>28.406683925629562</v>
      </c>
      <c r="F8" s="208">
        <f>B8+D8</f>
        <v>1720</v>
      </c>
      <c r="G8" s="234">
        <f>F8*100/$F$9</f>
        <v>21.813570069752696</v>
      </c>
      <c r="H8" s="9"/>
    </row>
    <row r="9" spans="1:10">
      <c r="A9" s="208" t="s">
        <v>78</v>
      </c>
      <c r="B9" s="235">
        <f>B6+B7+B8</f>
        <v>3636</v>
      </c>
      <c r="C9" s="234">
        <f>B9*100/$B$9</f>
        <v>100</v>
      </c>
      <c r="D9" s="208">
        <f>D6+D7+D8</f>
        <v>4249</v>
      </c>
      <c r="E9" s="234">
        <f>D9*100/$D$9</f>
        <v>100</v>
      </c>
      <c r="F9" s="208">
        <f>B9+D9</f>
        <v>7885</v>
      </c>
      <c r="G9" s="234">
        <f>F9*100/$F$9</f>
        <v>100</v>
      </c>
      <c r="H9" s="52"/>
    </row>
    <row r="10" spans="1:10">
      <c r="A10" s="30"/>
      <c r="B10" s="30"/>
      <c r="C10" s="30"/>
      <c r="D10" s="30"/>
      <c r="E10" s="30"/>
      <c r="F10" s="30"/>
      <c r="G10" s="30"/>
      <c r="H10" s="9"/>
    </row>
    <row r="11" spans="1:10">
      <c r="A11" s="201" t="s">
        <v>299</v>
      </c>
      <c r="B11" s="30"/>
      <c r="C11" s="30"/>
      <c r="D11" s="30"/>
      <c r="E11" s="30"/>
      <c r="F11" s="30"/>
      <c r="G11" s="30"/>
      <c r="H11" s="9"/>
    </row>
    <row r="12" spans="1:10" ht="45">
      <c r="A12" s="1180" t="s">
        <v>68</v>
      </c>
      <c r="B12" s="1180" t="s">
        <v>69</v>
      </c>
      <c r="C12" s="1180"/>
      <c r="D12" s="1180" t="s">
        <v>70</v>
      </c>
      <c r="E12" s="1180"/>
      <c r="F12" s="208" t="s">
        <v>71</v>
      </c>
      <c r="G12" s="208" t="s">
        <v>72</v>
      </c>
      <c r="H12" s="53"/>
    </row>
    <row r="13" spans="1:10" ht="15.75">
      <c r="A13" s="1180"/>
      <c r="B13" s="208" t="s">
        <v>73</v>
      </c>
      <c r="C13" s="208" t="s">
        <v>74</v>
      </c>
      <c r="D13" s="208" t="s">
        <v>73</v>
      </c>
      <c r="E13" s="208" t="s">
        <v>74</v>
      </c>
      <c r="F13" s="208"/>
      <c r="G13" s="208"/>
      <c r="H13" s="53"/>
    </row>
    <row r="14" spans="1:10" ht="30">
      <c r="A14" s="208" t="s">
        <v>75</v>
      </c>
      <c r="B14" s="208">
        <f>'Половозрастн стр-ра'!E5</f>
        <v>102</v>
      </c>
      <c r="C14" s="234">
        <f>B14*100/B17</f>
        <v>12.561576354679802</v>
      </c>
      <c r="D14" s="208">
        <f>'Половозрастн стр-ра'!I5</f>
        <v>139</v>
      </c>
      <c r="E14" s="234">
        <f>D14*100/D17</f>
        <v>15.043290043290042</v>
      </c>
      <c r="F14" s="208">
        <f>B14+D14</f>
        <v>241</v>
      </c>
      <c r="G14" s="234">
        <f>F14*100/F17</f>
        <v>13.882488479262673</v>
      </c>
    </row>
    <row r="15" spans="1:10" ht="45">
      <c r="A15" s="208" t="s">
        <v>76</v>
      </c>
      <c r="B15" s="208">
        <f>'Половозрастн стр-ра'!F5</f>
        <v>542</v>
      </c>
      <c r="C15" s="234">
        <f>B15*100/B17</f>
        <v>66.748768472906406</v>
      </c>
      <c r="D15" s="208">
        <f>'Половозрастн стр-ра'!J5</f>
        <v>506</v>
      </c>
      <c r="E15" s="234">
        <f>D15*100/D17</f>
        <v>54.761904761904759</v>
      </c>
      <c r="F15" s="208">
        <f>B15+D15</f>
        <v>1048</v>
      </c>
      <c r="G15" s="234">
        <f>F15*100/F17</f>
        <v>60.368663594470043</v>
      </c>
      <c r="H15" s="119">
        <f>86*100/231</f>
        <v>37.229437229437231</v>
      </c>
    </row>
    <row r="16" spans="1:10" ht="60">
      <c r="A16" s="208" t="s">
        <v>77</v>
      </c>
      <c r="B16" s="208">
        <f>'Половозрастн стр-ра'!G5</f>
        <v>168</v>
      </c>
      <c r="C16" s="234">
        <f>B16*100/B17</f>
        <v>20.689655172413794</v>
      </c>
      <c r="D16" s="208">
        <f>'Половозрастн стр-ра'!K5</f>
        <v>279</v>
      </c>
      <c r="E16" s="234">
        <f>D16*100/D17</f>
        <v>30.194805194805195</v>
      </c>
      <c r="F16" s="208">
        <f>B16+D16</f>
        <v>447</v>
      </c>
      <c r="G16" s="234">
        <f>F16*100/F17</f>
        <v>25.748847926267281</v>
      </c>
      <c r="H16" s="18"/>
    </row>
    <row r="17" spans="1:16">
      <c r="A17" s="208" t="s">
        <v>78</v>
      </c>
      <c r="B17" s="235">
        <f t="shared" ref="B17:G17" si="0">B14+B15+B16</f>
        <v>812</v>
      </c>
      <c r="C17" s="234">
        <f t="shared" si="0"/>
        <v>100</v>
      </c>
      <c r="D17" s="208">
        <f t="shared" si="0"/>
        <v>924</v>
      </c>
      <c r="E17" s="234">
        <f t="shared" si="0"/>
        <v>100</v>
      </c>
      <c r="F17" s="208">
        <f t="shared" si="0"/>
        <v>1736</v>
      </c>
      <c r="G17" s="234">
        <f t="shared" si="0"/>
        <v>100</v>
      </c>
      <c r="H17" s="18"/>
    </row>
    <row r="18" spans="1:16">
      <c r="A18" s="22"/>
      <c r="B18" s="54"/>
      <c r="C18" s="54"/>
      <c r="D18" s="54"/>
      <c r="E18" s="227"/>
      <c r="F18" s="54"/>
      <c r="G18" s="54"/>
      <c r="H18" s="18"/>
    </row>
    <row r="19" spans="1:16" ht="15.75">
      <c r="A19" s="184" t="s">
        <v>254</v>
      </c>
      <c r="B19" s="54"/>
      <c r="C19" s="54"/>
      <c r="D19" s="22"/>
      <c r="E19" s="30"/>
      <c r="F19" s="22"/>
      <c r="G19" s="22"/>
    </row>
    <row r="20" spans="1:16" ht="45">
      <c r="A20" s="1180" t="s">
        <v>68</v>
      </c>
      <c r="B20" s="1180" t="s">
        <v>69</v>
      </c>
      <c r="C20" s="1180"/>
      <c r="D20" s="1180" t="s">
        <v>70</v>
      </c>
      <c r="E20" s="1180"/>
      <c r="F20" s="208" t="s">
        <v>71</v>
      </c>
      <c r="G20" s="208" t="s">
        <v>72</v>
      </c>
    </row>
    <row r="21" spans="1:16">
      <c r="A21" s="1180"/>
      <c r="B21" s="208" t="s">
        <v>73</v>
      </c>
      <c r="C21" s="208" t="s">
        <v>74</v>
      </c>
      <c r="D21" s="208" t="s">
        <v>73</v>
      </c>
      <c r="E21" s="208" t="s">
        <v>74</v>
      </c>
      <c r="F21" s="208"/>
      <c r="G21" s="208"/>
    </row>
    <row r="22" spans="1:16" ht="30">
      <c r="A22" s="208" t="s">
        <v>75</v>
      </c>
      <c r="B22" s="208">
        <f>'Половозрастн стр-ра'!E10</f>
        <v>48</v>
      </c>
      <c r="C22" s="234">
        <f>B22*100/$B$25</f>
        <v>18.677042801556421</v>
      </c>
      <c r="D22" s="234">
        <f>'Половозрастн стр-ра'!I10</f>
        <v>39</v>
      </c>
      <c r="E22" s="236">
        <f>D22*100/$D$25</f>
        <v>14.552238805970148</v>
      </c>
      <c r="F22" s="234">
        <f>B22+D22</f>
        <v>87</v>
      </c>
      <c r="G22" s="234">
        <f>F22*100/$F$25</f>
        <v>16.571428571428573</v>
      </c>
    </row>
    <row r="23" spans="1:16" ht="45">
      <c r="A23" s="208" t="s">
        <v>76</v>
      </c>
      <c r="B23" s="208">
        <f>'Половозрастн стр-ра'!F10</f>
        <v>177</v>
      </c>
      <c r="C23" s="234">
        <f>B23*100/$B$25</f>
        <v>68.871595330739297</v>
      </c>
      <c r="D23" s="234">
        <f>'Половозрастн стр-ра'!J10</f>
        <v>166</v>
      </c>
      <c r="E23" s="236">
        <f>D23*100/$D$25</f>
        <v>61.940298507462686</v>
      </c>
      <c r="F23" s="234">
        <f>B23+D23</f>
        <v>343</v>
      </c>
      <c r="G23" s="234">
        <f>F23*100/$F$25</f>
        <v>65.333333333333329</v>
      </c>
      <c r="H23" s="21">
        <f>76*100/457</f>
        <v>16.630196936542671</v>
      </c>
    </row>
    <row r="24" spans="1:16" ht="60">
      <c r="A24" s="208" t="s">
        <v>77</v>
      </c>
      <c r="B24" s="208">
        <f>'Половозрастн стр-ра'!G10</f>
        <v>32</v>
      </c>
      <c r="C24" s="234">
        <f>B24*100/$B$25</f>
        <v>12.45136186770428</v>
      </c>
      <c r="D24" s="234">
        <f>'Половозрастн стр-ра'!K10</f>
        <v>63</v>
      </c>
      <c r="E24" s="236">
        <f>D24*100/$D$25</f>
        <v>23.507462686567163</v>
      </c>
      <c r="F24" s="234">
        <f>B24+D24</f>
        <v>95</v>
      </c>
      <c r="G24" s="234">
        <f>F24*100/$F$25</f>
        <v>18.095238095238095</v>
      </c>
    </row>
    <row r="25" spans="1:16">
      <c r="A25" s="208" t="s">
        <v>78</v>
      </c>
      <c r="B25" s="235">
        <f t="shared" ref="B25:G25" si="1">B22+B23+B24</f>
        <v>257</v>
      </c>
      <c r="C25" s="234">
        <f t="shared" si="1"/>
        <v>100</v>
      </c>
      <c r="D25" s="234">
        <f>D22+D23+D24</f>
        <v>268</v>
      </c>
      <c r="E25" s="234">
        <f>E22+E23+E24</f>
        <v>100</v>
      </c>
      <c r="F25" s="208">
        <f t="shared" si="1"/>
        <v>525</v>
      </c>
      <c r="G25" s="234">
        <f t="shared" si="1"/>
        <v>100</v>
      </c>
    </row>
    <row r="26" spans="1:16">
      <c r="A26" s="22"/>
      <c r="B26" s="22"/>
      <c r="C26" s="22"/>
      <c r="D26" s="22"/>
      <c r="E26" s="30"/>
      <c r="F26" s="22"/>
      <c r="G26" s="22"/>
    </row>
    <row r="27" spans="1:16" ht="15.75">
      <c r="A27" s="184" t="s">
        <v>257</v>
      </c>
      <c r="B27" s="22"/>
      <c r="C27" s="22"/>
      <c r="D27" s="22"/>
      <c r="E27" s="30"/>
      <c r="F27" s="22"/>
      <c r="G27" s="22"/>
    </row>
    <row r="28" spans="1:16" ht="45">
      <c r="A28" s="1180" t="s">
        <v>68</v>
      </c>
      <c r="B28" s="1180" t="s">
        <v>69</v>
      </c>
      <c r="C28" s="1180"/>
      <c r="D28" s="1180" t="s">
        <v>70</v>
      </c>
      <c r="E28" s="1180"/>
      <c r="F28" s="522" t="s">
        <v>71</v>
      </c>
      <c r="G28" s="522" t="s">
        <v>72</v>
      </c>
      <c r="I28" s="18"/>
      <c r="J28" s="18"/>
      <c r="K28" s="18"/>
      <c r="L28" s="18"/>
      <c r="M28" s="18"/>
      <c r="N28" s="18"/>
      <c r="O28" s="18"/>
      <c r="P28" s="18"/>
    </row>
    <row r="29" spans="1:16">
      <c r="A29" s="1180"/>
      <c r="B29" s="522" t="s">
        <v>73</v>
      </c>
      <c r="C29" s="522" t="s">
        <v>74</v>
      </c>
      <c r="D29" s="522" t="s">
        <v>73</v>
      </c>
      <c r="E29" s="522" t="s">
        <v>74</v>
      </c>
      <c r="F29" s="522"/>
      <c r="G29" s="522"/>
      <c r="I29" s="18"/>
      <c r="J29" s="18"/>
      <c r="K29" s="18"/>
      <c r="L29" s="18"/>
      <c r="M29" s="18"/>
      <c r="N29" s="18"/>
      <c r="O29" s="18"/>
      <c r="P29" s="18"/>
    </row>
    <row r="30" spans="1:16" ht="30">
      <c r="A30" s="522" t="s">
        <v>75</v>
      </c>
      <c r="B30" s="522">
        <f>'Половозрастн стр-ра'!E13</f>
        <v>98</v>
      </c>
      <c r="C30" s="234">
        <f>B30*100/$B$33</f>
        <v>19.140625</v>
      </c>
      <c r="D30" s="522">
        <f>'Половозрастн стр-ра'!I13</f>
        <v>111</v>
      </c>
      <c r="E30" s="234">
        <f>D30*100/$D$33</f>
        <v>18.655462184873951</v>
      </c>
      <c r="F30" s="522">
        <f>B30+D30</f>
        <v>209</v>
      </c>
      <c r="G30" s="234">
        <f>F30*100/$F$33</f>
        <v>18.879855465221318</v>
      </c>
      <c r="I30" s="18"/>
      <c r="J30" s="18"/>
      <c r="K30" s="18"/>
      <c r="L30" s="18"/>
      <c r="M30" s="18"/>
      <c r="N30" s="18"/>
      <c r="O30" s="18"/>
      <c r="P30" s="18"/>
    </row>
    <row r="31" spans="1:16" ht="45">
      <c r="A31" s="522" t="s">
        <v>76</v>
      </c>
      <c r="B31" s="522">
        <f>'Половозрастн стр-ра'!F13</f>
        <v>333</v>
      </c>
      <c r="C31" s="234">
        <f>B31*100/$B$33</f>
        <v>65.0390625</v>
      </c>
      <c r="D31" s="522">
        <f>'Половозрастн стр-ра'!J13</f>
        <v>307</v>
      </c>
      <c r="E31" s="234">
        <f>D31*100/$D$33</f>
        <v>51.596638655462186</v>
      </c>
      <c r="F31" s="522">
        <f>B31+D31</f>
        <v>640</v>
      </c>
      <c r="G31" s="234">
        <f>F31*100/$F$33</f>
        <v>57.813911472448055</v>
      </c>
      <c r="I31" s="18"/>
      <c r="J31" s="18"/>
      <c r="K31" s="18"/>
      <c r="L31" s="18"/>
      <c r="M31" s="18"/>
      <c r="N31" s="18"/>
      <c r="O31" s="18"/>
      <c r="P31" s="18"/>
    </row>
    <row r="32" spans="1:16" ht="60">
      <c r="A32" s="522" t="s">
        <v>77</v>
      </c>
      <c r="B32" s="522">
        <f>'Половозрастн стр-ра'!G13</f>
        <v>81</v>
      </c>
      <c r="C32" s="234">
        <f>B32*100/$B$33</f>
        <v>15.8203125</v>
      </c>
      <c r="D32" s="522">
        <f>'Половозрастн стр-ра'!K13</f>
        <v>177</v>
      </c>
      <c r="E32" s="234">
        <f>D32*100/$D$33</f>
        <v>29.747899159663866</v>
      </c>
      <c r="F32" s="522">
        <f>B32+D32</f>
        <v>258</v>
      </c>
      <c r="G32" s="234">
        <f>F32*100/$F$33</f>
        <v>23.306233062330623</v>
      </c>
    </row>
    <row r="33" spans="1:8">
      <c r="A33" s="522" t="s">
        <v>78</v>
      </c>
      <c r="B33" s="235">
        <f>B30+B31+B32</f>
        <v>512</v>
      </c>
      <c r="C33" s="234">
        <f>B33*100/$B$33</f>
        <v>100</v>
      </c>
      <c r="D33" s="522">
        <f>D30+D31+D32</f>
        <v>595</v>
      </c>
      <c r="E33" s="234">
        <f>D33*100/$D$33</f>
        <v>100</v>
      </c>
      <c r="F33" s="522">
        <f>B33+D33</f>
        <v>1107</v>
      </c>
      <c r="G33" s="234">
        <f>F33*100/$F$33</f>
        <v>100</v>
      </c>
    </row>
    <row r="34" spans="1:8">
      <c r="A34" s="22"/>
      <c r="B34" s="22"/>
      <c r="C34" s="22"/>
      <c r="D34" s="22"/>
      <c r="E34" s="30"/>
      <c r="F34" s="22"/>
      <c r="G34" s="22"/>
    </row>
    <row r="35" spans="1:8" ht="31.5">
      <c r="A35" s="184" t="s">
        <v>261</v>
      </c>
      <c r="B35" s="22"/>
      <c r="C35" s="22"/>
      <c r="D35" s="22"/>
      <c r="E35" s="30"/>
      <c r="F35" s="22"/>
      <c r="G35" s="22"/>
    </row>
    <row r="36" spans="1:8" ht="45">
      <c r="A36" s="1179" t="s">
        <v>68</v>
      </c>
      <c r="B36" s="1179" t="s">
        <v>69</v>
      </c>
      <c r="C36" s="1179"/>
      <c r="D36" s="1179" t="s">
        <v>70</v>
      </c>
      <c r="E36" s="1179"/>
      <c r="F36" s="481" t="s">
        <v>71</v>
      </c>
      <c r="G36" s="481" t="s">
        <v>72</v>
      </c>
    </row>
    <row r="37" spans="1:8">
      <c r="A37" s="1179"/>
      <c r="B37" s="481" t="s">
        <v>73</v>
      </c>
      <c r="C37" s="481" t="s">
        <v>74</v>
      </c>
      <c r="D37" s="481" t="s">
        <v>73</v>
      </c>
      <c r="E37" s="481" t="s">
        <v>74</v>
      </c>
      <c r="F37" s="481"/>
      <c r="G37" s="481"/>
    </row>
    <row r="38" spans="1:8" ht="30">
      <c r="A38" s="481" t="s">
        <v>75</v>
      </c>
      <c r="B38" s="481">
        <f>'Половозрастн стр-ра'!E17</f>
        <v>57</v>
      </c>
      <c r="C38" s="238">
        <f>B38*100/$B$41</f>
        <v>15.2</v>
      </c>
      <c r="D38" s="481">
        <f>'Половозрастн стр-ра'!I17</f>
        <v>57</v>
      </c>
      <c r="E38" s="238">
        <f>D38*100/$D$41</f>
        <v>14.004914004914005</v>
      </c>
      <c r="F38" s="481">
        <f>B38+D38</f>
        <v>114</v>
      </c>
      <c r="G38" s="238">
        <f>F38*100/$F$41</f>
        <v>14.578005115089514</v>
      </c>
    </row>
    <row r="39" spans="1:8" ht="45">
      <c r="A39" s="481" t="s">
        <v>76</v>
      </c>
      <c r="B39" s="481">
        <f>'Половозрастн стр-ра'!F17</f>
        <v>253</v>
      </c>
      <c r="C39" s="238">
        <f>B39*100/$B$41</f>
        <v>67.466666666666669</v>
      </c>
      <c r="D39" s="481">
        <f>'Половозрастн стр-ра'!J17</f>
        <v>184</v>
      </c>
      <c r="E39" s="238">
        <f>D39*100/$D$41</f>
        <v>45.208845208845212</v>
      </c>
      <c r="F39" s="481">
        <f>B39+D39</f>
        <v>437</v>
      </c>
      <c r="G39" s="238">
        <f>F39*100/$F$41</f>
        <v>55.882352941176471</v>
      </c>
      <c r="H39" s="21">
        <f>40*100/289</f>
        <v>13.84083044982699</v>
      </c>
    </row>
    <row r="40" spans="1:8" ht="60">
      <c r="A40" s="481" t="s">
        <v>77</v>
      </c>
      <c r="B40" s="481">
        <f>'Половозрастн стр-ра'!G17</f>
        <v>65</v>
      </c>
      <c r="C40" s="238">
        <f>B40*100/$B$41</f>
        <v>17.333333333333332</v>
      </c>
      <c r="D40" s="481">
        <f>'Половозрастн стр-ра'!K17</f>
        <v>166</v>
      </c>
      <c r="E40" s="238">
        <f>D40*100/$D$41</f>
        <v>40.786240786240789</v>
      </c>
      <c r="F40" s="481">
        <f>B40+D40</f>
        <v>231</v>
      </c>
      <c r="G40" s="238">
        <f>F40*100/$F$41</f>
        <v>29.539641943734015</v>
      </c>
    </row>
    <row r="41" spans="1:8">
      <c r="A41" s="481" t="s">
        <v>78</v>
      </c>
      <c r="B41" s="239">
        <f>B38+B39+B40</f>
        <v>375</v>
      </c>
      <c r="C41" s="238">
        <f>B41*100/$B$41</f>
        <v>100</v>
      </c>
      <c r="D41" s="481">
        <f>D38+D39+D40</f>
        <v>407</v>
      </c>
      <c r="E41" s="238">
        <f>D41*100/$D$41</f>
        <v>100</v>
      </c>
      <c r="F41" s="481">
        <f>B41+D41</f>
        <v>782</v>
      </c>
      <c r="G41" s="238">
        <f>F41*100/$F$41</f>
        <v>100</v>
      </c>
    </row>
    <row r="42" spans="1:8">
      <c r="A42" s="22"/>
      <c r="B42" s="22"/>
      <c r="C42" s="22"/>
      <c r="D42" s="22"/>
      <c r="E42" s="30"/>
      <c r="F42" s="22"/>
      <c r="G42" s="22"/>
    </row>
    <row r="43" spans="1:8" ht="15.75">
      <c r="A43" s="184" t="s">
        <v>264</v>
      </c>
      <c r="B43" s="22"/>
      <c r="C43" s="22"/>
      <c r="D43" s="22"/>
      <c r="E43" s="30"/>
      <c r="F43" s="22"/>
      <c r="G43" s="22"/>
    </row>
    <row r="44" spans="1:8" ht="45">
      <c r="A44" s="1180" t="s">
        <v>68</v>
      </c>
      <c r="B44" s="1180" t="s">
        <v>69</v>
      </c>
      <c r="C44" s="1180"/>
      <c r="D44" s="1180" t="s">
        <v>70</v>
      </c>
      <c r="E44" s="1180"/>
      <c r="F44" s="522" t="s">
        <v>71</v>
      </c>
      <c r="G44" s="522" t="s">
        <v>72</v>
      </c>
    </row>
    <row r="45" spans="1:8">
      <c r="A45" s="1180"/>
      <c r="B45" s="522" t="s">
        <v>73</v>
      </c>
      <c r="C45" s="522" t="s">
        <v>74</v>
      </c>
      <c r="D45" s="522" t="s">
        <v>73</v>
      </c>
      <c r="E45" s="522" t="s">
        <v>74</v>
      </c>
      <c r="F45" s="522"/>
      <c r="G45" s="522"/>
    </row>
    <row r="46" spans="1:8" ht="30">
      <c r="A46" s="522" t="s">
        <v>75</v>
      </c>
      <c r="B46" s="522">
        <f>'Половозрастн стр-ра'!E20</f>
        <v>33</v>
      </c>
      <c r="C46" s="234">
        <f>B46*100/$B$49</f>
        <v>15.277777777777779</v>
      </c>
      <c r="D46" s="522">
        <f>'Половозрастн стр-ра'!I20</f>
        <v>34</v>
      </c>
      <c r="E46" s="234">
        <f>D46*100/$D$49</f>
        <v>12.878787878787879</v>
      </c>
      <c r="F46" s="522">
        <f>B46+D46</f>
        <v>67</v>
      </c>
      <c r="G46" s="234">
        <f>F46*100/$F$49</f>
        <v>13.958333333333334</v>
      </c>
    </row>
    <row r="47" spans="1:8" ht="45">
      <c r="A47" s="522" t="s">
        <v>76</v>
      </c>
      <c r="B47" s="522">
        <f>'Половозрастн стр-ра'!F20</f>
        <v>128</v>
      </c>
      <c r="C47" s="234">
        <f>B47*100/$B$49</f>
        <v>59.25925925925926</v>
      </c>
      <c r="D47" s="522">
        <f>'Половозрастн стр-ра'!J20</f>
        <v>143</v>
      </c>
      <c r="E47" s="234">
        <f>D47*100/$D$49</f>
        <v>54.166666666666664</v>
      </c>
      <c r="F47" s="522">
        <f>B47+D47</f>
        <v>271</v>
      </c>
      <c r="G47" s="234">
        <f>F47*100/$F$49</f>
        <v>56.458333333333336</v>
      </c>
    </row>
    <row r="48" spans="1:8" ht="60">
      <c r="A48" s="522" t="s">
        <v>77</v>
      </c>
      <c r="B48" s="522">
        <f>'Половозрастн стр-ра'!G20</f>
        <v>55</v>
      </c>
      <c r="C48" s="234">
        <f>B48*100/$B$49</f>
        <v>25.462962962962962</v>
      </c>
      <c r="D48" s="117">
        <f>'Половозрастн стр-ра'!K20</f>
        <v>87</v>
      </c>
      <c r="E48" s="234">
        <f>D48*100/$D$49</f>
        <v>32.954545454545453</v>
      </c>
      <c r="F48" s="522">
        <f>B48+D48</f>
        <v>142</v>
      </c>
      <c r="G48" s="234">
        <f>F48*100/$F$49</f>
        <v>29.583333333333332</v>
      </c>
    </row>
    <row r="49" spans="1:7">
      <c r="A49" s="522" t="s">
        <v>78</v>
      </c>
      <c r="B49" s="235">
        <f>B46+B47+B48</f>
        <v>216</v>
      </c>
      <c r="C49" s="234">
        <f>B49*100/$B$49</f>
        <v>100</v>
      </c>
      <c r="D49" s="522">
        <f>D46+D47+D48</f>
        <v>264</v>
      </c>
      <c r="E49" s="234">
        <f>D49*100/$D$49</f>
        <v>100</v>
      </c>
      <c r="F49" s="522">
        <f>B49+D49</f>
        <v>480</v>
      </c>
      <c r="G49" s="234">
        <f>F49*100/$F$49</f>
        <v>100</v>
      </c>
    </row>
    <row r="50" spans="1:7">
      <c r="A50" s="22"/>
      <c r="B50" s="22"/>
      <c r="C50" s="22"/>
      <c r="D50" s="22"/>
      <c r="E50" s="30"/>
      <c r="F50" s="22"/>
      <c r="G50" s="22"/>
    </row>
    <row r="51" spans="1:7" ht="15.75">
      <c r="A51" s="184" t="s">
        <v>267</v>
      </c>
      <c r="B51" s="22"/>
      <c r="C51" s="22"/>
      <c r="D51" s="22"/>
      <c r="E51" s="30"/>
      <c r="F51" s="22"/>
      <c r="G51" s="22"/>
    </row>
    <row r="52" spans="1:7" ht="45">
      <c r="A52" s="1179" t="s">
        <v>68</v>
      </c>
      <c r="B52" s="1179" t="s">
        <v>69</v>
      </c>
      <c r="C52" s="1179"/>
      <c r="D52" s="1179" t="s">
        <v>70</v>
      </c>
      <c r="E52" s="1179"/>
      <c r="F52" s="206" t="s">
        <v>71</v>
      </c>
      <c r="G52" s="206" t="s">
        <v>72</v>
      </c>
    </row>
    <row r="53" spans="1:7">
      <c r="A53" s="1179"/>
      <c r="B53" s="206" t="s">
        <v>73</v>
      </c>
      <c r="C53" s="206" t="s">
        <v>74</v>
      </c>
      <c r="D53" s="206" t="s">
        <v>73</v>
      </c>
      <c r="E53" s="206" t="s">
        <v>74</v>
      </c>
      <c r="F53" s="206"/>
      <c r="G53" s="206"/>
    </row>
    <row r="54" spans="1:7" ht="30">
      <c r="A54" s="206" t="s">
        <v>75</v>
      </c>
      <c r="B54" s="237">
        <f>'Половозрастн стр-ра'!E23</f>
        <v>49</v>
      </c>
      <c r="C54" s="238">
        <f>B54*100/$B$57</f>
        <v>18.702290076335878</v>
      </c>
      <c r="D54" s="237">
        <f>'Половозрастн стр-ра'!I23</f>
        <v>53</v>
      </c>
      <c r="E54" s="238">
        <f>D54*100/$D$57</f>
        <v>18.339100346020761</v>
      </c>
      <c r="F54" s="206">
        <f>B54+D54</f>
        <v>102</v>
      </c>
      <c r="G54" s="238">
        <f>F54*100/$F$57</f>
        <v>18.511796733212343</v>
      </c>
    </row>
    <row r="55" spans="1:7" ht="45">
      <c r="A55" s="206" t="s">
        <v>76</v>
      </c>
      <c r="B55" s="237">
        <f>'Половозрастн стр-ра'!F23</f>
        <v>179</v>
      </c>
      <c r="C55" s="238">
        <f>B55*100/$B$57</f>
        <v>68.320610687022906</v>
      </c>
      <c r="D55" s="237">
        <f>'Половозрастн стр-ра'!J23</f>
        <v>150</v>
      </c>
      <c r="E55" s="238">
        <f>D55*100/$D$57</f>
        <v>51.903114186851212</v>
      </c>
      <c r="F55" s="206">
        <f>B55+D55</f>
        <v>329</v>
      </c>
      <c r="G55" s="238">
        <f>F55*100/$F$57</f>
        <v>59.709618874773142</v>
      </c>
    </row>
    <row r="56" spans="1:7" ht="60">
      <c r="A56" s="206" t="s">
        <v>77</v>
      </c>
      <c r="B56" s="237">
        <f>'Половозрастн стр-ра'!G23</f>
        <v>34</v>
      </c>
      <c r="C56" s="238">
        <f>B56*100/$B$57</f>
        <v>12.977099236641221</v>
      </c>
      <c r="D56" s="237">
        <f>'Половозрастн стр-ра'!K23</f>
        <v>86</v>
      </c>
      <c r="E56" s="238">
        <f>D56*100/$D$57</f>
        <v>29.757785467128027</v>
      </c>
      <c r="F56" s="206">
        <f>B56+D56</f>
        <v>120</v>
      </c>
      <c r="G56" s="238">
        <f>F56*100/$F$57</f>
        <v>21.778584392014519</v>
      </c>
    </row>
    <row r="57" spans="1:7">
      <c r="A57" s="206" t="s">
        <v>78</v>
      </c>
      <c r="B57" s="239">
        <f>B54+B55+B56</f>
        <v>262</v>
      </c>
      <c r="C57" s="238">
        <f>B57*100/$B$57</f>
        <v>100</v>
      </c>
      <c r="D57" s="206">
        <f>D54+D55+D56</f>
        <v>289</v>
      </c>
      <c r="E57" s="238">
        <f>D57*100/$D$57</f>
        <v>100</v>
      </c>
      <c r="F57" s="480">
        <f>B57+D57</f>
        <v>551</v>
      </c>
      <c r="G57" s="238">
        <f>F57*100/$F$57</f>
        <v>100</v>
      </c>
    </row>
    <row r="58" spans="1:7">
      <c r="A58" s="123"/>
      <c r="B58" s="124"/>
      <c r="C58" s="125"/>
      <c r="D58" s="123"/>
      <c r="E58" s="125"/>
      <c r="F58" s="123"/>
      <c r="G58" s="125"/>
    </row>
    <row r="59" spans="1:7" ht="15.75">
      <c r="A59" s="184" t="s">
        <v>271</v>
      </c>
      <c r="B59" s="22"/>
      <c r="C59" s="22"/>
      <c r="D59" s="22"/>
      <c r="E59" s="30"/>
      <c r="F59" s="22"/>
      <c r="G59" s="22"/>
    </row>
    <row r="60" spans="1:7" ht="45">
      <c r="A60" s="1179" t="s">
        <v>68</v>
      </c>
      <c r="B60" s="1179" t="s">
        <v>69</v>
      </c>
      <c r="C60" s="1179"/>
      <c r="D60" s="1179" t="s">
        <v>70</v>
      </c>
      <c r="E60" s="1179"/>
      <c r="F60" s="481" t="s">
        <v>71</v>
      </c>
      <c r="G60" s="481" t="s">
        <v>72</v>
      </c>
    </row>
    <row r="61" spans="1:7">
      <c r="A61" s="1179"/>
      <c r="B61" s="481" t="s">
        <v>73</v>
      </c>
      <c r="C61" s="481" t="s">
        <v>74</v>
      </c>
      <c r="D61" s="481" t="s">
        <v>73</v>
      </c>
      <c r="E61" s="481" t="s">
        <v>74</v>
      </c>
      <c r="F61" s="481"/>
      <c r="G61" s="481"/>
    </row>
    <row r="62" spans="1:7" ht="30">
      <c r="A62" s="481" t="s">
        <v>75</v>
      </c>
      <c r="B62" s="481">
        <f>'Половозрастн стр-ра'!E27</f>
        <v>173</v>
      </c>
      <c r="C62" s="238">
        <f>B62*100/$B$73</f>
        <v>35.670103092783506</v>
      </c>
      <c r="D62" s="481">
        <f>'Половозрастн стр-ра'!I27</f>
        <v>152</v>
      </c>
      <c r="E62" s="238">
        <f>D62*100/$D$73</f>
        <v>33.928571428571431</v>
      </c>
      <c r="F62" s="481">
        <f>B62+D62</f>
        <v>325</v>
      </c>
      <c r="G62" s="238">
        <f>F62*100/$F$73</f>
        <v>34.833869239013936</v>
      </c>
    </row>
    <row r="63" spans="1:7" ht="45">
      <c r="A63" s="481" t="s">
        <v>76</v>
      </c>
      <c r="B63" s="481">
        <f>'Половозрастн стр-ра'!F27</f>
        <v>571</v>
      </c>
      <c r="C63" s="238">
        <f>B63*100/$B$73</f>
        <v>117.73195876288659</v>
      </c>
      <c r="D63" s="481">
        <f>'Половозрастн стр-ра'!J27</f>
        <v>480</v>
      </c>
      <c r="E63" s="238">
        <f>D63*100/$D$73</f>
        <v>107.14285714285714</v>
      </c>
      <c r="F63" s="481">
        <f>B63+D63</f>
        <v>1051</v>
      </c>
      <c r="G63" s="238">
        <f>F63*100/$F$73</f>
        <v>112.64737406216506</v>
      </c>
    </row>
    <row r="64" spans="1:7" ht="60">
      <c r="A64" s="481" t="s">
        <v>77</v>
      </c>
      <c r="B64" s="481">
        <f>'Половозрастн стр-ра'!G27</f>
        <v>107</v>
      </c>
      <c r="C64" s="238">
        <f>B64*100/$B$73</f>
        <v>22.061855670103093</v>
      </c>
      <c r="D64" s="481">
        <f>'Половозрастн стр-ра'!K27</f>
        <v>197</v>
      </c>
      <c r="E64" s="238">
        <f>D64*100/$D$73</f>
        <v>43.973214285714285</v>
      </c>
      <c r="F64" s="481">
        <f>B64+D64</f>
        <v>304</v>
      </c>
      <c r="G64" s="238">
        <f>F64*100/$F$73</f>
        <v>32.583065380493032</v>
      </c>
    </row>
    <row r="65" spans="1:7">
      <c r="A65" s="481" t="s">
        <v>78</v>
      </c>
      <c r="B65" s="239">
        <f>B62+B63+B64</f>
        <v>851</v>
      </c>
      <c r="C65" s="238">
        <f>B65*100/$B$73</f>
        <v>175.46391752577318</v>
      </c>
      <c r="D65" s="481">
        <f>D62+D63+D64</f>
        <v>829</v>
      </c>
      <c r="E65" s="238">
        <f>D65*100/$D$73</f>
        <v>185.04464285714286</v>
      </c>
      <c r="F65" s="481">
        <f>B65+D65</f>
        <v>1680</v>
      </c>
      <c r="G65" s="238">
        <f>F65*100/$F$73</f>
        <v>180.06430868167203</v>
      </c>
    </row>
    <row r="66" spans="1:7">
      <c r="A66" s="22"/>
      <c r="B66" s="22"/>
      <c r="C66" s="22"/>
      <c r="D66" s="22"/>
      <c r="E66" s="30"/>
      <c r="F66" s="22"/>
      <c r="G66" s="22"/>
    </row>
    <row r="67" spans="1:7" ht="31.5">
      <c r="A67" s="184" t="s">
        <v>277</v>
      </c>
      <c r="B67" s="22"/>
      <c r="C67" s="22"/>
      <c r="D67" s="22"/>
      <c r="E67" s="30"/>
      <c r="F67" s="22"/>
      <c r="G67" s="22"/>
    </row>
    <row r="68" spans="1:7" ht="45">
      <c r="A68" s="1179" t="s">
        <v>68</v>
      </c>
      <c r="B68" s="1179" t="s">
        <v>69</v>
      </c>
      <c r="C68" s="1179"/>
      <c r="D68" s="1179" t="s">
        <v>70</v>
      </c>
      <c r="E68" s="1179"/>
      <c r="F68" s="206" t="s">
        <v>71</v>
      </c>
      <c r="G68" s="206" t="s">
        <v>72</v>
      </c>
    </row>
    <row r="69" spans="1:7">
      <c r="A69" s="1179"/>
      <c r="B69" s="206" t="s">
        <v>73</v>
      </c>
      <c r="C69" s="206" t="s">
        <v>74</v>
      </c>
      <c r="D69" s="206" t="s">
        <v>73</v>
      </c>
      <c r="E69" s="206" t="s">
        <v>74</v>
      </c>
      <c r="F69" s="206"/>
      <c r="G69" s="206"/>
    </row>
    <row r="70" spans="1:7" ht="30">
      <c r="A70" s="206" t="s">
        <v>75</v>
      </c>
      <c r="B70" s="206">
        <f>'Половозрастн стр-ра'!E33</f>
        <v>59</v>
      </c>
      <c r="C70" s="238">
        <f>B70*100/$B$73</f>
        <v>12.164948453608247</v>
      </c>
      <c r="D70" s="206">
        <f>'Половозрастн стр-ра'!I33</f>
        <v>46</v>
      </c>
      <c r="E70" s="238">
        <f>D70*100/$D$73</f>
        <v>10.267857142857142</v>
      </c>
      <c r="F70" s="206">
        <f>B70+D70</f>
        <v>105</v>
      </c>
      <c r="G70" s="238">
        <f>F70*100/$F$73</f>
        <v>11.254019292604502</v>
      </c>
    </row>
    <row r="71" spans="1:7" ht="45">
      <c r="A71" s="206" t="s">
        <v>76</v>
      </c>
      <c r="B71" s="206">
        <f>'Половозрастн стр-ра'!F33</f>
        <v>359</v>
      </c>
      <c r="C71" s="238">
        <f>B71*100/$B$73</f>
        <v>74.020618556701038</v>
      </c>
      <c r="D71" s="206">
        <f>'Половозрастн стр-ра'!J33</f>
        <v>250</v>
      </c>
      <c r="E71" s="238">
        <f>D71*100/$D$73</f>
        <v>55.803571428571431</v>
      </c>
      <c r="F71" s="206">
        <f>B71+D71</f>
        <v>609</v>
      </c>
      <c r="G71" s="238">
        <f>F71*100/$F$73</f>
        <v>65.273311897106112</v>
      </c>
    </row>
    <row r="72" spans="1:7" ht="60">
      <c r="A72" s="206" t="s">
        <v>77</v>
      </c>
      <c r="B72" s="206">
        <f>'Половозрастн стр-ра'!G33</f>
        <v>67</v>
      </c>
      <c r="C72" s="238">
        <f>B72*100/$B$73</f>
        <v>13.814432989690722</v>
      </c>
      <c r="D72" s="206">
        <f>'Половозрастн стр-ра'!K33</f>
        <v>152</v>
      </c>
      <c r="E72" s="238">
        <f>D72*100/$D$73</f>
        <v>33.928571428571431</v>
      </c>
      <c r="F72" s="206">
        <f>B72+D72</f>
        <v>219</v>
      </c>
      <c r="G72" s="238">
        <f>F72*100/$F$73</f>
        <v>23.472668810289388</v>
      </c>
    </row>
    <row r="73" spans="1:7">
      <c r="A73" s="206" t="s">
        <v>78</v>
      </c>
      <c r="B73" s="239">
        <f>B70+B71+B72</f>
        <v>485</v>
      </c>
      <c r="C73" s="238">
        <f>B73*100/$B$73</f>
        <v>100</v>
      </c>
      <c r="D73" s="206">
        <f>D70+D71+D72</f>
        <v>448</v>
      </c>
      <c r="E73" s="238">
        <f>D73*100/$D$73</f>
        <v>100</v>
      </c>
      <c r="F73" s="206">
        <f>B73+D73</f>
        <v>933</v>
      </c>
      <c r="G73" s="238">
        <f>F73*100/$F$73</f>
        <v>100</v>
      </c>
    </row>
    <row r="74" spans="1:7">
      <c r="A74" s="22"/>
      <c r="B74" s="22"/>
      <c r="C74" s="22"/>
      <c r="D74" s="22"/>
      <c r="E74" s="30"/>
      <c r="F74" s="22"/>
      <c r="G74" s="22"/>
    </row>
    <row r="75" spans="1:7" ht="15.75">
      <c r="A75" s="184" t="s">
        <v>283</v>
      </c>
      <c r="B75" s="22"/>
      <c r="C75" s="22"/>
      <c r="D75" s="22"/>
      <c r="E75" s="30"/>
      <c r="F75" s="22"/>
      <c r="G75" s="22"/>
    </row>
    <row r="76" spans="1:7" ht="45">
      <c r="A76" s="1179" t="s">
        <v>68</v>
      </c>
      <c r="B76" s="1179" t="s">
        <v>69</v>
      </c>
      <c r="C76" s="1179"/>
      <c r="D76" s="1179" t="s">
        <v>70</v>
      </c>
      <c r="E76" s="1179"/>
      <c r="F76" s="206" t="s">
        <v>71</v>
      </c>
      <c r="G76" s="206" t="s">
        <v>72</v>
      </c>
    </row>
    <row r="77" spans="1:7">
      <c r="A77" s="1179"/>
      <c r="B77" s="206" t="s">
        <v>73</v>
      </c>
      <c r="C77" s="206" t="s">
        <v>74</v>
      </c>
      <c r="D77" s="206" t="s">
        <v>73</v>
      </c>
      <c r="E77" s="206" t="s">
        <v>74</v>
      </c>
      <c r="F77" s="206"/>
      <c r="G77" s="206"/>
    </row>
    <row r="78" spans="1:7" ht="30">
      <c r="A78" s="206" t="s">
        <v>75</v>
      </c>
      <c r="B78" s="206">
        <f>'Половозрастн стр-ра'!E39</f>
        <v>111</v>
      </c>
      <c r="C78" s="238">
        <f>B78*100/$B$73</f>
        <v>22.88659793814433</v>
      </c>
      <c r="D78" s="206">
        <f>'Половозрастн стр-ра'!I39</f>
        <v>108</v>
      </c>
      <c r="E78" s="238">
        <f>D78*100/$D$73</f>
        <v>24.107142857142858</v>
      </c>
      <c r="F78" s="206">
        <f>B78+D78</f>
        <v>219</v>
      </c>
      <c r="G78" s="238">
        <f>F78*100/$F$73</f>
        <v>23.472668810289388</v>
      </c>
    </row>
    <row r="79" spans="1:7" ht="45">
      <c r="A79" s="206" t="s">
        <v>76</v>
      </c>
      <c r="B79" s="206">
        <f>'Половозрастн стр-ра'!F39</f>
        <v>313</v>
      </c>
      <c r="C79" s="238">
        <f>B79*100/$B$73</f>
        <v>64.536082474226802</v>
      </c>
      <c r="D79" s="206">
        <f>'Половозрастн стр-ра'!J39</f>
        <v>349</v>
      </c>
      <c r="E79" s="238">
        <f>D79*100/$D$73</f>
        <v>77.901785714285708</v>
      </c>
      <c r="F79" s="206">
        <f>B79+D79</f>
        <v>662</v>
      </c>
      <c r="G79" s="238">
        <f>F79*100/$F$73</f>
        <v>70.953912111468384</v>
      </c>
    </row>
    <row r="80" spans="1:7" ht="60">
      <c r="A80" s="206" t="s">
        <v>77</v>
      </c>
      <c r="B80" s="206">
        <f>'Половозрастн стр-ра'!G39</f>
        <v>54</v>
      </c>
      <c r="C80" s="238">
        <f>B80*100/$B$73</f>
        <v>11.134020618556701</v>
      </c>
      <c r="D80" s="206">
        <f>'Половозрастн стр-ра'!K39</f>
        <v>109</v>
      </c>
      <c r="E80" s="238">
        <f>D80*100/$D$73</f>
        <v>24.330357142857142</v>
      </c>
      <c r="F80" s="206">
        <f>B80+D80</f>
        <v>163</v>
      </c>
      <c r="G80" s="238">
        <f>F80*100/$F$73</f>
        <v>17.470525187566988</v>
      </c>
    </row>
    <row r="81" spans="1:7">
      <c r="A81" s="206" t="s">
        <v>78</v>
      </c>
      <c r="B81" s="239">
        <f>B78+B79+B80</f>
        <v>478</v>
      </c>
      <c r="C81" s="238">
        <f>B81*100/$B$73</f>
        <v>98.55670103092784</v>
      </c>
      <c r="D81" s="206">
        <f>D78+D79+D80</f>
        <v>566</v>
      </c>
      <c r="E81" s="238">
        <f>D81*100/$D$73</f>
        <v>126.33928571428571</v>
      </c>
      <c r="F81" s="480">
        <f>B81+D81</f>
        <v>1044</v>
      </c>
      <c r="G81" s="238">
        <f>F81*100/$F$73</f>
        <v>111.89710610932475</v>
      </c>
    </row>
    <row r="82" spans="1:7">
      <c r="A82" s="123"/>
      <c r="B82" s="124"/>
      <c r="C82" s="125"/>
      <c r="D82" s="123"/>
      <c r="E82" s="125"/>
      <c r="F82" s="123"/>
      <c r="G82" s="125"/>
    </row>
    <row r="83" spans="1:7" ht="15.75">
      <c r="A83" s="184" t="s">
        <v>288</v>
      </c>
      <c r="B83" s="124"/>
      <c r="C83" s="125"/>
      <c r="D83" s="123"/>
      <c r="E83" s="125"/>
      <c r="F83" s="123"/>
      <c r="G83" s="125"/>
    </row>
    <row r="84" spans="1:7" ht="45">
      <c r="A84" s="1179" t="s">
        <v>68</v>
      </c>
      <c r="B84" s="1179" t="s">
        <v>69</v>
      </c>
      <c r="C84" s="1179"/>
      <c r="D84" s="1179" t="s">
        <v>70</v>
      </c>
      <c r="E84" s="1179"/>
      <c r="F84" s="206" t="s">
        <v>71</v>
      </c>
      <c r="G84" s="206" t="s">
        <v>72</v>
      </c>
    </row>
    <row r="85" spans="1:7">
      <c r="A85" s="1179"/>
      <c r="B85" s="206" t="s">
        <v>73</v>
      </c>
      <c r="C85" s="206" t="s">
        <v>74</v>
      </c>
      <c r="D85" s="206" t="s">
        <v>73</v>
      </c>
      <c r="E85" s="206" t="s">
        <v>74</v>
      </c>
      <c r="F85" s="206"/>
      <c r="G85" s="206"/>
    </row>
    <row r="86" spans="1:7" ht="30">
      <c r="A86" s="206" t="s">
        <v>75</v>
      </c>
      <c r="B86" s="206">
        <f>'Половозрастн стр-ра'!E44</f>
        <v>87</v>
      </c>
      <c r="C86" s="238">
        <f>B86*100/$B$73</f>
        <v>17.938144329896907</v>
      </c>
      <c r="D86" s="206">
        <f>'Половозрастн стр-ра'!I44</f>
        <v>63</v>
      </c>
      <c r="E86" s="238">
        <f>D86*100/$D$73</f>
        <v>14.0625</v>
      </c>
      <c r="F86" s="206">
        <f>B86+D86</f>
        <v>150</v>
      </c>
      <c r="G86" s="238">
        <f>F86*100/$F$73</f>
        <v>16.077170418006432</v>
      </c>
    </row>
    <row r="87" spans="1:7" ht="45">
      <c r="A87" s="206" t="s">
        <v>76</v>
      </c>
      <c r="B87" s="206">
        <f>'Половозрастн стр-ра'!F44</f>
        <v>367</v>
      </c>
      <c r="C87" s="238">
        <f>B87*100/$B$73</f>
        <v>75.670103092783506</v>
      </c>
      <c r="D87" s="206">
        <f>'Половозрастн стр-ра'!J44</f>
        <v>302</v>
      </c>
      <c r="E87" s="238">
        <f>D87*100/$D$73</f>
        <v>67.410714285714292</v>
      </c>
      <c r="F87" s="206">
        <f>B87+D87</f>
        <v>669</v>
      </c>
      <c r="G87" s="238">
        <f>F87*100/$F$73</f>
        <v>71.704180064308687</v>
      </c>
    </row>
    <row r="88" spans="1:7" ht="60">
      <c r="A88" s="206" t="s">
        <v>77</v>
      </c>
      <c r="B88" s="206">
        <f>'Половозрастн стр-ра'!G44</f>
        <v>69</v>
      </c>
      <c r="C88" s="238">
        <f>B88*100/$B$73</f>
        <v>14.226804123711339</v>
      </c>
      <c r="D88" s="206">
        <f>'Половозрастн стр-ра'!K44</f>
        <v>162</v>
      </c>
      <c r="E88" s="238">
        <f>D88*100/$D$73</f>
        <v>36.160714285714285</v>
      </c>
      <c r="F88" s="206">
        <f>B88+D88</f>
        <v>231</v>
      </c>
      <c r="G88" s="238">
        <f>F88*100/$F$73</f>
        <v>24.758842443729904</v>
      </c>
    </row>
    <row r="89" spans="1:7">
      <c r="A89" s="206" t="s">
        <v>78</v>
      </c>
      <c r="B89" s="239">
        <f>B86+B87+B88</f>
        <v>523</v>
      </c>
      <c r="C89" s="238">
        <f>B89*100/$B$73</f>
        <v>107.83505154639175</v>
      </c>
      <c r="D89" s="206">
        <f>D86+D87+D88</f>
        <v>527</v>
      </c>
      <c r="E89" s="238">
        <f>D89*100/$D$73</f>
        <v>117.63392857142857</v>
      </c>
      <c r="F89" s="206">
        <f>B89+D89</f>
        <v>1050</v>
      </c>
      <c r="G89" s="238">
        <f>F89*100/$F$73</f>
        <v>112.54019292604502</v>
      </c>
    </row>
    <row r="90" spans="1:7">
      <c r="A90" s="123"/>
      <c r="B90" s="124"/>
      <c r="C90" s="125"/>
      <c r="D90" s="123"/>
      <c r="E90" s="125"/>
      <c r="F90" s="123"/>
      <c r="G90" s="125"/>
    </row>
    <row r="91" spans="1:7">
      <c r="A91" s="123"/>
      <c r="B91" s="124"/>
      <c r="C91" s="125"/>
      <c r="D91" s="123"/>
      <c r="E91" s="125"/>
      <c r="F91" s="123"/>
      <c r="G91" s="125"/>
    </row>
    <row r="92" spans="1:7" ht="15.75">
      <c r="A92" s="184" t="s">
        <v>292</v>
      </c>
      <c r="B92" s="124"/>
      <c r="C92" s="125"/>
      <c r="D92" s="123"/>
      <c r="E92" s="125"/>
      <c r="F92" s="123"/>
      <c r="G92" s="125"/>
    </row>
    <row r="93" spans="1:7" ht="45">
      <c r="A93" s="1179" t="s">
        <v>68</v>
      </c>
      <c r="B93" s="1179" t="s">
        <v>69</v>
      </c>
      <c r="C93" s="1179"/>
      <c r="D93" s="1179" t="s">
        <v>70</v>
      </c>
      <c r="E93" s="1179"/>
      <c r="F93" s="206" t="s">
        <v>71</v>
      </c>
      <c r="G93" s="206" t="s">
        <v>72</v>
      </c>
    </row>
    <row r="94" spans="1:7">
      <c r="A94" s="1179"/>
      <c r="B94" s="206" t="s">
        <v>73</v>
      </c>
      <c r="C94" s="206" t="s">
        <v>74</v>
      </c>
      <c r="D94" s="206" t="s">
        <v>73</v>
      </c>
      <c r="E94" s="206" t="s">
        <v>74</v>
      </c>
      <c r="F94" s="206"/>
      <c r="G94" s="206"/>
    </row>
    <row r="95" spans="1:7" ht="30">
      <c r="A95" s="206" t="s">
        <v>75</v>
      </c>
      <c r="B95" s="206">
        <f>'Половозрастн стр-ра'!E48</f>
        <v>119</v>
      </c>
      <c r="C95" s="238">
        <f>B95*100/$B$73</f>
        <v>24.536082474226806</v>
      </c>
      <c r="D95" s="206">
        <f>'Половозрастн стр-ра'!I48</f>
        <v>72</v>
      </c>
      <c r="E95" s="238">
        <f>D95*100/$D$73</f>
        <v>16.071428571428573</v>
      </c>
      <c r="F95" s="206">
        <f>B95+D95</f>
        <v>191</v>
      </c>
      <c r="G95" s="238">
        <f>F95*100/$F$73</f>
        <v>20.471596998928188</v>
      </c>
    </row>
    <row r="96" spans="1:7" ht="45">
      <c r="A96" s="206" t="s">
        <v>76</v>
      </c>
      <c r="B96" s="206">
        <f>'Половозрастн стр-ра'!F48</f>
        <v>318</v>
      </c>
      <c r="C96" s="238">
        <f>B96*100/$B$73</f>
        <v>65.567010309278345</v>
      </c>
      <c r="D96" s="206">
        <f>'Половозрастн стр-ра'!J48</f>
        <v>371</v>
      </c>
      <c r="E96" s="238">
        <f>D96*100/$D$73</f>
        <v>82.8125</v>
      </c>
      <c r="F96" s="206">
        <f>B96+D96</f>
        <v>689</v>
      </c>
      <c r="G96" s="238">
        <f>F96*100/$F$73</f>
        <v>73.847802786709536</v>
      </c>
    </row>
    <row r="97" spans="1:13" ht="60">
      <c r="A97" s="206" t="s">
        <v>77</v>
      </c>
      <c r="B97" s="206">
        <f>'Половозрастн стр-ра'!G48</f>
        <v>106</v>
      </c>
      <c r="C97" s="238">
        <f>B97*100/$B$73</f>
        <v>21.855670103092784</v>
      </c>
      <c r="D97" s="206">
        <f>'Половозрастн стр-ра'!K48</f>
        <v>192</v>
      </c>
      <c r="E97" s="238">
        <f>D97*100/$D$73</f>
        <v>42.857142857142854</v>
      </c>
      <c r="F97" s="206">
        <f>B97+D97</f>
        <v>298</v>
      </c>
      <c r="G97" s="238">
        <f>F97*100/$F$73</f>
        <v>31.939978563772776</v>
      </c>
    </row>
    <row r="98" spans="1:13">
      <c r="A98" s="206" t="s">
        <v>78</v>
      </c>
      <c r="B98" s="239">
        <f>B95+B96+B97</f>
        <v>543</v>
      </c>
      <c r="C98" s="238">
        <f>B98*100/$B$73</f>
        <v>111.95876288659794</v>
      </c>
      <c r="D98" s="206">
        <f>D95+D96+D97</f>
        <v>635</v>
      </c>
      <c r="E98" s="238">
        <f>D98*100/$D$73</f>
        <v>141.74107142857142</v>
      </c>
      <c r="F98" s="206">
        <f>B98+D98</f>
        <v>1178</v>
      </c>
      <c r="G98" s="238">
        <f>F98*100/$F$73</f>
        <v>126.2593783494105</v>
      </c>
    </row>
    <row r="99" spans="1:13">
      <c r="A99" s="52"/>
      <c r="B99" s="63"/>
      <c r="C99" s="64"/>
      <c r="D99" s="52"/>
      <c r="E99" s="64"/>
      <c r="F99" s="52"/>
      <c r="G99" s="64"/>
    </row>
    <row r="100" spans="1:13">
      <c r="A100" s="10" t="s">
        <v>79</v>
      </c>
      <c r="B100" s="22"/>
      <c r="C100" s="22"/>
      <c r="D100" s="22"/>
      <c r="E100" s="30"/>
      <c r="F100" s="22"/>
      <c r="G100" s="22"/>
    </row>
    <row r="101" spans="1:13" ht="45">
      <c r="A101" s="1179" t="s">
        <v>68</v>
      </c>
      <c r="B101" s="1179" t="s">
        <v>69</v>
      </c>
      <c r="C101" s="1179"/>
      <c r="D101" s="1179" t="s">
        <v>70</v>
      </c>
      <c r="E101" s="1179"/>
      <c r="F101" s="206" t="s">
        <v>71</v>
      </c>
      <c r="G101" s="206" t="s">
        <v>72</v>
      </c>
    </row>
    <row r="102" spans="1:13">
      <c r="A102" s="1179"/>
      <c r="B102" s="206" t="s">
        <v>73</v>
      </c>
      <c r="C102" s="206" t="s">
        <v>74</v>
      </c>
      <c r="D102" s="206" t="s">
        <v>73</v>
      </c>
      <c r="E102" s="206" t="s">
        <v>74</v>
      </c>
      <c r="F102" s="206"/>
      <c r="G102" s="206"/>
    </row>
    <row r="103" spans="1:13" ht="30">
      <c r="A103" s="206" t="s">
        <v>75</v>
      </c>
      <c r="B103" s="237">
        <f>B6+B14+B22+B30+B38+B46+B54+B62+B70+B78+B86+B95</f>
        <v>1627</v>
      </c>
      <c r="C103" s="238">
        <f>B103*100/$B$106</f>
        <v>18.178770949720672</v>
      </c>
      <c r="D103" s="237">
        <f>D6+D14+D22+D30+D38+D46+D54+D62+D70+D78+D86+D95</f>
        <v>1577</v>
      </c>
      <c r="E103" s="238">
        <f>D103*100/$D$106</f>
        <v>15.768423157684232</v>
      </c>
      <c r="F103" s="237">
        <f>B103+D103</f>
        <v>3204</v>
      </c>
      <c r="G103" s="238">
        <f>F103*100/$F$106</f>
        <v>16.906759537755264</v>
      </c>
    </row>
    <row r="104" spans="1:13" ht="45">
      <c r="A104" s="206" t="s">
        <v>76</v>
      </c>
      <c r="B104" s="237">
        <f>B7+B15+B23+B31+B39+B47+B55+B63+B71+B79+B87+B96</f>
        <v>5972</v>
      </c>
      <c r="C104" s="238">
        <f>B104*100/$B$106</f>
        <v>66.726256983240219</v>
      </c>
      <c r="D104" s="237">
        <f>D7+D15+D23+D31+D39+D47+D55+D63+D71+D79+D87+D96</f>
        <v>5547</v>
      </c>
      <c r="E104" s="238">
        <f>D104*100/$D$106</f>
        <v>55.464453554644535</v>
      </c>
      <c r="F104" s="237">
        <f>B104+D104</f>
        <v>11519</v>
      </c>
      <c r="G104" s="238">
        <f>F104*100/$F$106</f>
        <v>60.783072133396658</v>
      </c>
      <c r="J104" s="22"/>
    </row>
    <row r="105" spans="1:13" ht="60">
      <c r="A105" s="206" t="s">
        <v>77</v>
      </c>
      <c r="B105" s="237">
        <f>B8+B16+B24+B32+B40+B48+B56+B64+B72+B80+B88+B97</f>
        <v>1351</v>
      </c>
      <c r="C105" s="238">
        <f>B105*100/$B$106</f>
        <v>15.094972067039107</v>
      </c>
      <c r="D105" s="237">
        <f>D8+D16+D24+D32+D40+D48+D56+D64+D72+D80+D88+D97</f>
        <v>2877</v>
      </c>
      <c r="E105" s="238">
        <f>D105*100/$D$106</f>
        <v>28.767123287671232</v>
      </c>
      <c r="F105" s="237">
        <f>B105+D105</f>
        <v>4228</v>
      </c>
      <c r="G105" s="238">
        <f>F105*100/$F$106</f>
        <v>22.310168328848082</v>
      </c>
    </row>
    <row r="106" spans="1:13">
      <c r="A106" s="206" t="s">
        <v>78</v>
      </c>
      <c r="B106" s="240">
        <f>B103+B104+B105</f>
        <v>8950</v>
      </c>
      <c r="C106" s="238">
        <v>100</v>
      </c>
      <c r="D106" s="237">
        <f>D103+D104+D105</f>
        <v>10001</v>
      </c>
      <c r="E106" s="238">
        <v>100</v>
      </c>
      <c r="F106" s="237">
        <f>B106+D106</f>
        <v>18951</v>
      </c>
      <c r="G106" s="238">
        <v>100</v>
      </c>
    </row>
    <row r="107" spans="1:13">
      <c r="A107" s="22"/>
      <c r="B107" s="22"/>
      <c r="C107" s="22"/>
      <c r="D107" s="22"/>
      <c r="E107" s="30"/>
      <c r="F107" s="22"/>
      <c r="G107" s="22"/>
    </row>
    <row r="108" spans="1:13">
      <c r="C108" s="31"/>
      <c r="D108" s="31"/>
      <c r="E108" s="31"/>
      <c r="F108" s="77">
        <v>14358</v>
      </c>
      <c r="G108" s="31"/>
    </row>
    <row r="111" spans="1:13">
      <c r="A111" s="55" t="s">
        <v>79</v>
      </c>
    </row>
    <row r="112" spans="1:13">
      <c r="A112" s="1185" t="s">
        <v>80</v>
      </c>
      <c r="B112" s="1187" t="s">
        <v>69</v>
      </c>
      <c r="C112" s="1188"/>
      <c r="D112" s="1189" t="s">
        <v>70</v>
      </c>
      <c r="E112" s="1189"/>
      <c r="F112" s="1190" t="s">
        <v>81</v>
      </c>
      <c r="G112" s="1190"/>
      <c r="J112" s="1181" t="s">
        <v>82</v>
      </c>
      <c r="K112" s="1183" t="s">
        <v>83</v>
      </c>
      <c r="L112" s="1183" t="s">
        <v>84</v>
      </c>
      <c r="M112" s="1183" t="s">
        <v>85</v>
      </c>
    </row>
    <row r="113" spans="1:13" ht="51">
      <c r="A113" s="1186"/>
      <c r="B113" s="134" t="s">
        <v>86</v>
      </c>
      <c r="C113" s="136" t="s">
        <v>87</v>
      </c>
      <c r="D113" s="134" t="s">
        <v>86</v>
      </c>
      <c r="E113" s="136" t="s">
        <v>88</v>
      </c>
      <c r="F113" s="134" t="s">
        <v>86</v>
      </c>
      <c r="G113" s="136" t="s">
        <v>72</v>
      </c>
      <c r="J113" s="1182"/>
      <c r="K113" s="1184"/>
      <c r="L113" s="1184"/>
      <c r="M113" s="1184"/>
    </row>
    <row r="114" spans="1:13">
      <c r="A114" s="12" t="s">
        <v>89</v>
      </c>
      <c r="B114" s="14">
        <f>B121+B129+B136+B143+B150+B158+B165+B172</f>
        <v>3345</v>
      </c>
      <c r="C114" s="56">
        <f>B114*100/$B$116</f>
        <v>49.278137890394817</v>
      </c>
      <c r="D114" s="14">
        <f>D121+D129+D136+D143+D150+D158+D165+D172</f>
        <v>3530</v>
      </c>
      <c r="E114" s="57">
        <f>D114*100/$D$116</f>
        <v>44.87668446478515</v>
      </c>
      <c r="F114" s="14">
        <f>B114+D114</f>
        <v>6875</v>
      </c>
      <c r="G114" s="56">
        <f>F114*100/$F$116</f>
        <v>46.915517947318136</v>
      </c>
      <c r="H114" s="31">
        <f>(G121+G129+G136+G143+G150+G158+G165+G172)/7</f>
        <v>43.211233571951247</v>
      </c>
      <c r="J114" s="133">
        <v>2010</v>
      </c>
      <c r="K114" s="58">
        <f>F103*100/$F$104</f>
        <v>27.814914489104957</v>
      </c>
      <c r="L114" s="58">
        <f>F105*100/$F$104</f>
        <v>36.70457504991753</v>
      </c>
      <c r="M114" s="59">
        <f>K114+L114</f>
        <v>64.519489539022487</v>
      </c>
    </row>
    <row r="115" spans="1:13">
      <c r="A115" s="12" t="s">
        <v>90</v>
      </c>
      <c r="B115" s="14">
        <f>B122+B130+B137+B144+B151+B159+B166+B173</f>
        <v>3443</v>
      </c>
      <c r="C115" s="56">
        <f>B115*100/$B$116</f>
        <v>50.721862109605183</v>
      </c>
      <c r="D115" s="14">
        <f>D122+D130+D137+D144+D151+D159+D166+D173</f>
        <v>4336</v>
      </c>
      <c r="E115" s="57">
        <f>D115*100/$D$116</f>
        <v>55.12331553521485</v>
      </c>
      <c r="F115" s="14">
        <f>B115+D115</f>
        <v>7779</v>
      </c>
      <c r="G115" s="56">
        <f>F115*100/$F$116</f>
        <v>53.084482052681864</v>
      </c>
      <c r="H115" s="31">
        <f>(G122+G130+G137+G144+G151+G159+G166+G173)/7</f>
        <v>71.074480713763037</v>
      </c>
      <c r="J115" s="60"/>
      <c r="K115" s="60"/>
      <c r="L115" s="60"/>
      <c r="M115" s="60"/>
    </row>
    <row r="116" spans="1:13">
      <c r="A116" s="12" t="s">
        <v>91</v>
      </c>
      <c r="B116" s="14">
        <f>B114+B115</f>
        <v>6788</v>
      </c>
      <c r="C116" s="56">
        <f>B116*100/$B$116</f>
        <v>100</v>
      </c>
      <c r="D116" s="14">
        <f>D114+D115</f>
        <v>7866</v>
      </c>
      <c r="E116" s="57">
        <f>D116*100/$D$116</f>
        <v>100</v>
      </c>
      <c r="F116" s="14">
        <f>B116+D116</f>
        <v>14654</v>
      </c>
      <c r="G116" s="56">
        <f>G114+G115</f>
        <v>100</v>
      </c>
      <c r="H116" s="31">
        <f>H114+H115</f>
        <v>114.28571428571428</v>
      </c>
      <c r="J116" s="18"/>
      <c r="K116" s="18"/>
      <c r="L116" s="18"/>
      <c r="M116" s="18"/>
    </row>
    <row r="117" spans="1:13">
      <c r="F117" s="16"/>
      <c r="J117" s="18"/>
      <c r="K117" s="18"/>
      <c r="L117" s="18"/>
      <c r="M117" s="18"/>
    </row>
    <row r="118" spans="1:13">
      <c r="A118" s="61" t="s">
        <v>46</v>
      </c>
      <c r="J118" s="20" t="s">
        <v>92</v>
      </c>
      <c r="K118" s="65" t="s">
        <v>25</v>
      </c>
      <c r="L118" s="20" t="s">
        <v>93</v>
      </c>
      <c r="M118" s="20" t="s">
        <v>94</v>
      </c>
    </row>
    <row r="119" spans="1:13">
      <c r="A119" s="1185" t="s">
        <v>80</v>
      </c>
      <c r="B119" s="1187" t="s">
        <v>69</v>
      </c>
      <c r="C119" s="1188"/>
      <c r="D119" s="1189" t="s">
        <v>70</v>
      </c>
      <c r="E119" s="1189"/>
      <c r="F119" s="1190" t="s">
        <v>81</v>
      </c>
      <c r="G119" s="1190"/>
      <c r="J119" s="20" t="s">
        <v>117</v>
      </c>
      <c r="K119" s="66">
        <f>Численность!G12</f>
        <v>293</v>
      </c>
      <c r="L119" s="41"/>
      <c r="M119" s="19" t="e">
        <f>K119/L119</f>
        <v>#DIV/0!</v>
      </c>
    </row>
    <row r="120" spans="1:13" ht="51">
      <c r="A120" s="1186"/>
      <c r="B120" s="134" t="s">
        <v>86</v>
      </c>
      <c r="C120" s="136" t="s">
        <v>87</v>
      </c>
      <c r="D120" s="134" t="s">
        <v>86</v>
      </c>
      <c r="E120" s="136" t="s">
        <v>88</v>
      </c>
      <c r="F120" s="134" t="s">
        <v>86</v>
      </c>
      <c r="G120" s="136" t="s">
        <v>72</v>
      </c>
      <c r="J120" s="20" t="s">
        <v>119</v>
      </c>
      <c r="K120" s="66">
        <f>Численность!G18</f>
        <v>606</v>
      </c>
      <c r="L120" s="41"/>
      <c r="M120" s="19" t="e">
        <f t="shared" ref="M120:M126" si="2">K120/L120</f>
        <v>#DIV/0!</v>
      </c>
    </row>
    <row r="121" spans="1:13">
      <c r="A121" s="12" t="s">
        <v>89</v>
      </c>
      <c r="B121" s="14">
        <v>222</v>
      </c>
      <c r="C121" s="56">
        <f>B121*100/$B$123</f>
        <v>29.403973509933774</v>
      </c>
      <c r="D121" s="135">
        <v>287</v>
      </c>
      <c r="E121" s="13">
        <f>D121*100/$D$123</f>
        <v>36.237373737373737</v>
      </c>
      <c r="F121" s="14">
        <f>B121+D121</f>
        <v>509</v>
      </c>
      <c r="G121" s="15">
        <f>F121*100/$F$123</f>
        <v>32.902391725921134</v>
      </c>
      <c r="J121" s="20" t="s">
        <v>118</v>
      </c>
      <c r="K121" s="66">
        <f>Численность!G25</f>
        <v>87</v>
      </c>
      <c r="L121" s="41">
        <f>158+7+75+51</f>
        <v>291</v>
      </c>
      <c r="M121" s="19">
        <f t="shared" si="2"/>
        <v>0.29896907216494845</v>
      </c>
    </row>
    <row r="122" spans="1:13">
      <c r="A122" s="12" t="s">
        <v>90</v>
      </c>
      <c r="B122" s="14">
        <v>533</v>
      </c>
      <c r="C122" s="56">
        <f>B122*100/$B$123</f>
        <v>70.596026490066222</v>
      </c>
      <c r="D122" s="135">
        <v>505</v>
      </c>
      <c r="E122" s="13">
        <f>D122*100/$D$123</f>
        <v>63.762626262626263</v>
      </c>
      <c r="F122" s="14">
        <f>B122+D122</f>
        <v>1038</v>
      </c>
      <c r="G122" s="15">
        <f>F122*100/$F$123</f>
        <v>67.097608274078866</v>
      </c>
      <c r="J122" s="20" t="s">
        <v>120</v>
      </c>
      <c r="K122" s="67">
        <f>Численность!G30</f>
        <v>501</v>
      </c>
      <c r="L122" s="41">
        <v>637</v>
      </c>
      <c r="M122" s="19">
        <f t="shared" si="2"/>
        <v>0.78649921507064369</v>
      </c>
    </row>
    <row r="123" spans="1:13">
      <c r="A123" s="12" t="s">
        <v>91</v>
      </c>
      <c r="B123" s="14">
        <f>B121+B122</f>
        <v>755</v>
      </c>
      <c r="C123" s="56">
        <f>B123*100/$B$123</f>
        <v>100</v>
      </c>
      <c r="D123" s="135">
        <f>D121+D122</f>
        <v>792</v>
      </c>
      <c r="E123" s="13">
        <f>D123*100/$D$123</f>
        <v>100</v>
      </c>
      <c r="F123" s="14">
        <f>B123+D123</f>
        <v>1547</v>
      </c>
      <c r="G123" s="15">
        <f>F123*100/$F$123</f>
        <v>100</v>
      </c>
      <c r="H123" s="31"/>
      <c r="J123" s="20" t="s">
        <v>121</v>
      </c>
      <c r="K123" s="67">
        <f>Численность!G33</f>
        <v>933</v>
      </c>
      <c r="L123" s="41">
        <v>185</v>
      </c>
      <c r="M123" s="19">
        <f t="shared" si="2"/>
        <v>5.0432432432432428</v>
      </c>
    </row>
    <row r="124" spans="1:13">
      <c r="C124" s="62"/>
      <c r="D124" s="62"/>
      <c r="E124" s="62"/>
      <c r="F124" s="16"/>
      <c r="J124" s="20" t="s">
        <v>122</v>
      </c>
      <c r="K124" s="67">
        <f>Численность!G36</f>
        <v>134</v>
      </c>
      <c r="L124" s="41">
        <v>109</v>
      </c>
      <c r="M124" s="19">
        <f t="shared" si="2"/>
        <v>1.2293577981651376</v>
      </c>
    </row>
    <row r="125" spans="1:13">
      <c r="J125" s="20" t="s">
        <v>123</v>
      </c>
      <c r="K125" s="67">
        <f>Численность!G44</f>
        <v>1050</v>
      </c>
      <c r="L125" s="41">
        <f>258+17+272+93+128</f>
        <v>768</v>
      </c>
      <c r="M125" s="19">
        <f t="shared" si="2"/>
        <v>1.3671875</v>
      </c>
    </row>
    <row r="126" spans="1:13">
      <c r="A126" s="61" t="s">
        <v>59</v>
      </c>
      <c r="J126" s="20" t="s">
        <v>124</v>
      </c>
      <c r="K126" s="67">
        <f>Численность!G47</f>
        <v>183</v>
      </c>
      <c r="L126" s="41">
        <f>1481+41</f>
        <v>1522</v>
      </c>
      <c r="M126" s="19">
        <f t="shared" si="2"/>
        <v>0.12023653088042049</v>
      </c>
    </row>
    <row r="127" spans="1:13">
      <c r="A127" s="1185" t="s">
        <v>80</v>
      </c>
      <c r="B127" s="1187" t="s">
        <v>69</v>
      </c>
      <c r="C127" s="1188"/>
      <c r="D127" s="1189" t="s">
        <v>70</v>
      </c>
      <c r="E127" s="1189"/>
      <c r="F127" s="1190" t="s">
        <v>81</v>
      </c>
      <c r="G127" s="1190"/>
      <c r="J127" s="20" t="s">
        <v>125</v>
      </c>
      <c r="K127" s="67">
        <f>Численность!G50</f>
        <v>44</v>
      </c>
      <c r="L127" s="41"/>
      <c r="M127" s="19"/>
    </row>
    <row r="128" spans="1:13" ht="51">
      <c r="A128" s="1186"/>
      <c r="B128" s="134" t="s">
        <v>86</v>
      </c>
      <c r="C128" s="136" t="s">
        <v>87</v>
      </c>
      <c r="D128" s="134" t="s">
        <v>86</v>
      </c>
      <c r="E128" s="136" t="s">
        <v>88</v>
      </c>
      <c r="F128" s="134" t="s">
        <v>86</v>
      </c>
      <c r="G128" s="136" t="s">
        <v>72</v>
      </c>
      <c r="J128" s="68" t="s">
        <v>78</v>
      </c>
      <c r="K128" s="69">
        <f>SUM(K119:K127)</f>
        <v>3831</v>
      </c>
      <c r="L128" s="48">
        <f>SUM(L119:L127)</f>
        <v>3512</v>
      </c>
      <c r="M128" s="26" t="e">
        <f>SUM(M119:M126)/8</f>
        <v>#DIV/0!</v>
      </c>
    </row>
    <row r="129" spans="1:13">
      <c r="A129" s="12" t="s">
        <v>89</v>
      </c>
      <c r="B129" s="135">
        <v>104</v>
      </c>
      <c r="C129" s="15">
        <f>B129*100/B131</f>
        <v>38.376383763837637</v>
      </c>
      <c r="D129" s="135">
        <f>71+12</f>
        <v>83</v>
      </c>
      <c r="E129" s="15">
        <f>D129*100/D131</f>
        <v>25.617283950617285</v>
      </c>
      <c r="F129" s="135">
        <f>B129+D129</f>
        <v>187</v>
      </c>
      <c r="G129" s="15">
        <f>F129*100/F131</f>
        <v>31.428571428571427</v>
      </c>
    </row>
    <row r="130" spans="1:13">
      <c r="A130" s="12" t="s">
        <v>90</v>
      </c>
      <c r="B130" s="135">
        <v>167</v>
      </c>
      <c r="C130" s="15">
        <f>B130*100/B131</f>
        <v>61.623616236162363</v>
      </c>
      <c r="D130" s="135">
        <f>60+103+78</f>
        <v>241</v>
      </c>
      <c r="E130" s="15">
        <f>D130*100/D131</f>
        <v>74.382716049382722</v>
      </c>
      <c r="F130" s="135">
        <f>B130+D130</f>
        <v>408</v>
      </c>
      <c r="G130" s="15">
        <f>F130*100/F131</f>
        <v>68.571428571428569</v>
      </c>
      <c r="L130" s="5">
        <f>L119+L121+L122+L123+L124+L125+L126</f>
        <v>3512</v>
      </c>
      <c r="M130" s="21" t="e">
        <f>(M119+M121+M122+M123+M124+M125+M126)/7</f>
        <v>#DIV/0!</v>
      </c>
    </row>
    <row r="131" spans="1:13">
      <c r="A131" s="12" t="s">
        <v>91</v>
      </c>
      <c r="B131" s="135">
        <f>B129+B130</f>
        <v>271</v>
      </c>
      <c r="C131" s="15">
        <f>C129+C130</f>
        <v>100</v>
      </c>
      <c r="D131" s="135">
        <f>D129+D130</f>
        <v>324</v>
      </c>
      <c r="E131" s="15">
        <f>E129+E130</f>
        <v>100</v>
      </c>
      <c r="F131" s="135">
        <f>B131+D131</f>
        <v>595</v>
      </c>
      <c r="G131" s="15">
        <f>G129+G130</f>
        <v>100</v>
      </c>
    </row>
    <row r="133" spans="1:13">
      <c r="A133" s="61" t="s">
        <v>60</v>
      </c>
    </row>
    <row r="134" spans="1:13">
      <c r="A134" s="1185" t="s">
        <v>80</v>
      </c>
      <c r="B134" s="1187" t="s">
        <v>69</v>
      </c>
      <c r="C134" s="1188"/>
      <c r="D134" s="1189" t="s">
        <v>70</v>
      </c>
      <c r="E134" s="1189"/>
      <c r="F134" s="1190" t="s">
        <v>81</v>
      </c>
      <c r="G134" s="1190"/>
    </row>
    <row r="135" spans="1:13" ht="51">
      <c r="A135" s="1186"/>
      <c r="B135" s="134" t="s">
        <v>86</v>
      </c>
      <c r="C135" s="136" t="s">
        <v>87</v>
      </c>
      <c r="D135" s="134" t="s">
        <v>86</v>
      </c>
      <c r="E135" s="136" t="s">
        <v>88</v>
      </c>
      <c r="F135" s="134" t="s">
        <v>86</v>
      </c>
      <c r="G135" s="136" t="s">
        <v>72</v>
      </c>
    </row>
    <row r="136" spans="1:13">
      <c r="A136" s="12" t="s">
        <v>89</v>
      </c>
      <c r="B136" s="14">
        <v>177</v>
      </c>
      <c r="C136" s="56">
        <f>B136*100/$B$138</f>
        <v>26.457399103139014</v>
      </c>
      <c r="D136" s="135">
        <v>153</v>
      </c>
      <c r="E136" s="13">
        <f>D136*100/$D$138</f>
        <v>23.868954758190327</v>
      </c>
      <c r="F136" s="14">
        <f>B136+D136</f>
        <v>330</v>
      </c>
      <c r="G136" s="15">
        <f>F136*100/$F$138</f>
        <v>25.190839694656489</v>
      </c>
    </row>
    <row r="137" spans="1:13">
      <c r="A137" s="12" t="s">
        <v>90</v>
      </c>
      <c r="B137" s="14">
        <v>492</v>
      </c>
      <c r="C137" s="56">
        <f>B137*100/$B$138</f>
        <v>73.542600896860989</v>
      </c>
      <c r="D137" s="135">
        <v>488</v>
      </c>
      <c r="E137" s="13">
        <f>D137*100/$D$138</f>
        <v>76.131045241809673</v>
      </c>
      <c r="F137" s="14">
        <f>B137+D137</f>
        <v>980</v>
      </c>
      <c r="G137" s="15">
        <f>F137*100/$F$138</f>
        <v>74.809160305343511</v>
      </c>
    </row>
    <row r="138" spans="1:13">
      <c r="A138" s="12" t="s">
        <v>91</v>
      </c>
      <c r="B138" s="14">
        <f>B136+B137</f>
        <v>669</v>
      </c>
      <c r="C138" s="56">
        <f>B138*100/$B$138</f>
        <v>100</v>
      </c>
      <c r="D138" s="135">
        <f>D136+D137</f>
        <v>641</v>
      </c>
      <c r="E138" s="13">
        <f>D138*100/$D$138</f>
        <v>100</v>
      </c>
      <c r="F138" s="14">
        <f>B138+D138</f>
        <v>1310</v>
      </c>
      <c r="G138" s="15">
        <f>F138*100/$F$138</f>
        <v>100</v>
      </c>
      <c r="H138" s="31"/>
    </row>
    <row r="139" spans="1:13">
      <c r="C139" s="62"/>
      <c r="D139" s="62"/>
      <c r="E139" s="62"/>
      <c r="F139" s="16"/>
    </row>
    <row r="140" spans="1:13">
      <c r="A140" s="61" t="s">
        <v>61</v>
      </c>
    </row>
    <row r="141" spans="1:13">
      <c r="A141" s="1185" t="s">
        <v>80</v>
      </c>
      <c r="B141" s="1187" t="s">
        <v>69</v>
      </c>
      <c r="C141" s="1188"/>
      <c r="D141" s="1189" t="s">
        <v>70</v>
      </c>
      <c r="E141" s="1189"/>
      <c r="F141" s="1190" t="s">
        <v>81</v>
      </c>
      <c r="G141" s="1190"/>
    </row>
    <row r="142" spans="1:13" ht="51">
      <c r="A142" s="1186"/>
      <c r="B142" s="134" t="s">
        <v>86</v>
      </c>
      <c r="C142" s="136" t="s">
        <v>87</v>
      </c>
      <c r="D142" s="134" t="s">
        <v>86</v>
      </c>
      <c r="E142" s="136" t="s">
        <v>88</v>
      </c>
      <c r="F142" s="134" t="s">
        <v>86</v>
      </c>
      <c r="G142" s="136" t="s">
        <v>72</v>
      </c>
    </row>
    <row r="143" spans="1:13">
      <c r="A143" s="12" t="s">
        <v>89</v>
      </c>
      <c r="B143" s="14">
        <v>159</v>
      </c>
      <c r="C143" s="56">
        <f>B143*100/$B$145</f>
        <v>46.764705882352942</v>
      </c>
      <c r="D143" s="135">
        <v>95</v>
      </c>
      <c r="E143" s="13">
        <f>D143*100/$D$145</f>
        <v>33.928571428571431</v>
      </c>
      <c r="F143" s="14">
        <f>B143+D143</f>
        <v>254</v>
      </c>
      <c r="G143" s="15">
        <f>F143*100/$F$145</f>
        <v>40.967741935483872</v>
      </c>
    </row>
    <row r="144" spans="1:13">
      <c r="A144" s="12" t="s">
        <v>90</v>
      </c>
      <c r="B144" s="14">
        <v>181</v>
      </c>
      <c r="C144" s="56">
        <f>B144*100/$B$145</f>
        <v>53.235294117647058</v>
      </c>
      <c r="D144" s="135">
        <v>185</v>
      </c>
      <c r="E144" s="13">
        <f>D144*100/$D$145</f>
        <v>66.071428571428569</v>
      </c>
      <c r="F144" s="14">
        <f>B144+D144</f>
        <v>366</v>
      </c>
      <c r="G144" s="15">
        <f>F144*100/$F$145</f>
        <v>59.032258064516128</v>
      </c>
    </row>
    <row r="145" spans="1:8">
      <c r="A145" s="12" t="s">
        <v>91</v>
      </c>
      <c r="B145" s="14">
        <f>B143+B144</f>
        <v>340</v>
      </c>
      <c r="C145" s="56">
        <f>B145*100/$B$145</f>
        <v>100</v>
      </c>
      <c r="D145" s="135">
        <f>D143+D144</f>
        <v>280</v>
      </c>
      <c r="E145" s="13">
        <f>D145*100/$D$145</f>
        <v>100</v>
      </c>
      <c r="F145" s="14">
        <f>B145+D145</f>
        <v>620</v>
      </c>
      <c r="G145" s="15">
        <f>F145*100/$F$145</f>
        <v>100</v>
      </c>
      <c r="H145" s="31"/>
    </row>
    <row r="146" spans="1:8">
      <c r="C146" s="62"/>
      <c r="D146" s="62"/>
      <c r="E146" s="62"/>
      <c r="F146" s="16"/>
    </row>
    <row r="147" spans="1:8">
      <c r="A147" s="61" t="s">
        <v>63</v>
      </c>
    </row>
    <row r="148" spans="1:8">
      <c r="A148" s="1185" t="s">
        <v>80</v>
      </c>
      <c r="B148" s="1187" t="s">
        <v>69</v>
      </c>
      <c r="C148" s="1188"/>
      <c r="D148" s="1189" t="s">
        <v>70</v>
      </c>
      <c r="E148" s="1189"/>
      <c r="F148" s="1190" t="s">
        <v>81</v>
      </c>
      <c r="G148" s="1190"/>
    </row>
    <row r="149" spans="1:8" ht="51">
      <c r="A149" s="1186"/>
      <c r="B149" s="134" t="s">
        <v>86</v>
      </c>
      <c r="C149" s="136" t="s">
        <v>87</v>
      </c>
      <c r="D149" s="134" t="s">
        <v>86</v>
      </c>
      <c r="E149" s="136" t="s">
        <v>88</v>
      </c>
      <c r="F149" s="134" t="s">
        <v>86</v>
      </c>
      <c r="G149" s="136" t="s">
        <v>72</v>
      </c>
    </row>
    <row r="150" spans="1:8">
      <c r="A150" s="12" t="s">
        <v>89</v>
      </c>
      <c r="B150" s="14">
        <v>1877</v>
      </c>
      <c r="C150" s="56">
        <f>B150*100/$B$152</f>
        <v>69.390018484288362</v>
      </c>
      <c r="D150" s="135">
        <v>2179</v>
      </c>
      <c r="E150" s="13">
        <f>D150*100/$D$152</f>
        <v>63.416763678696157</v>
      </c>
      <c r="F150" s="14">
        <f>B150+D150</f>
        <v>4056</v>
      </c>
      <c r="G150" s="15">
        <f>F150*100/$F$152</f>
        <v>66.047874938935024</v>
      </c>
    </row>
    <row r="151" spans="1:8">
      <c r="A151" s="12" t="s">
        <v>90</v>
      </c>
      <c r="B151" s="14">
        <v>828</v>
      </c>
      <c r="C151" s="56">
        <f>B151*100/$B$152</f>
        <v>30.609981515711645</v>
      </c>
      <c r="D151" s="135">
        <v>1257</v>
      </c>
      <c r="E151" s="13">
        <f>D151*100/$D$152</f>
        <v>36.583236321303843</v>
      </c>
      <c r="F151" s="14">
        <f>B151+D151</f>
        <v>2085</v>
      </c>
      <c r="G151" s="15">
        <f>F151*100/$F$152</f>
        <v>33.952125061064976</v>
      </c>
    </row>
    <row r="152" spans="1:8">
      <c r="A152" s="12" t="s">
        <v>91</v>
      </c>
      <c r="B152" s="14">
        <f>B150+B151</f>
        <v>2705</v>
      </c>
      <c r="C152" s="56">
        <f>B152*100/$B$152</f>
        <v>100</v>
      </c>
      <c r="D152" s="135">
        <f>D150+D151</f>
        <v>3436</v>
      </c>
      <c r="E152" s="13">
        <f>D152*100/$D$152</f>
        <v>100</v>
      </c>
      <c r="F152" s="14">
        <f>B152+D152</f>
        <v>6141</v>
      </c>
      <c r="G152" s="15">
        <f>F152*100/$F$152</f>
        <v>100</v>
      </c>
      <c r="H152" s="31"/>
    </row>
    <row r="153" spans="1:8">
      <c r="C153" s="62"/>
      <c r="D153" s="62"/>
      <c r="E153" s="62"/>
      <c r="F153" s="16"/>
    </row>
    <row r="155" spans="1:8">
      <c r="A155" s="61" t="s">
        <v>64</v>
      </c>
    </row>
    <row r="156" spans="1:8">
      <c r="A156" s="1185" t="s">
        <v>80</v>
      </c>
      <c r="B156" s="1187" t="s">
        <v>69</v>
      </c>
      <c r="C156" s="1188"/>
      <c r="D156" s="1189" t="s">
        <v>70</v>
      </c>
      <c r="E156" s="1189"/>
      <c r="F156" s="1190" t="s">
        <v>81</v>
      </c>
      <c r="G156" s="1190"/>
    </row>
    <row r="157" spans="1:8" ht="51">
      <c r="A157" s="1186"/>
      <c r="B157" s="134" t="s">
        <v>86</v>
      </c>
      <c r="C157" s="136" t="s">
        <v>87</v>
      </c>
      <c r="D157" s="134" t="s">
        <v>86</v>
      </c>
      <c r="E157" s="136" t="s">
        <v>88</v>
      </c>
      <c r="F157" s="134" t="s">
        <v>86</v>
      </c>
      <c r="G157" s="136" t="s">
        <v>72</v>
      </c>
    </row>
    <row r="158" spans="1:8">
      <c r="A158" s="12" t="s">
        <v>89</v>
      </c>
      <c r="B158" s="14">
        <f>296+6</f>
        <v>302</v>
      </c>
      <c r="C158" s="56">
        <f>B158*100/$B$160</f>
        <v>42.715700141442717</v>
      </c>
      <c r="D158" s="135">
        <v>260</v>
      </c>
      <c r="E158" s="13">
        <f>D158*100/$D$160</f>
        <v>34.852546916890077</v>
      </c>
      <c r="F158" s="14">
        <f>B158+D158</f>
        <v>562</v>
      </c>
      <c r="G158" s="15">
        <f>F158*100/$F$160</f>
        <v>38.678596008258772</v>
      </c>
    </row>
    <row r="159" spans="1:8">
      <c r="A159" s="12" t="s">
        <v>90</v>
      </c>
      <c r="B159" s="14">
        <f>145+203+57</f>
        <v>405</v>
      </c>
      <c r="C159" s="56">
        <f>B159*100/$B$160</f>
        <v>57.284299858557283</v>
      </c>
      <c r="D159" s="135">
        <v>486</v>
      </c>
      <c r="E159" s="13">
        <f>D159*100/$D$160</f>
        <v>65.147453083109923</v>
      </c>
      <c r="F159" s="14">
        <f>B159+D159</f>
        <v>891</v>
      </c>
      <c r="G159" s="15">
        <f>F159*100/$F$160</f>
        <v>61.321403991741228</v>
      </c>
    </row>
    <row r="160" spans="1:8">
      <c r="A160" s="12" t="s">
        <v>91</v>
      </c>
      <c r="B160" s="14">
        <f>B158+B159</f>
        <v>707</v>
      </c>
      <c r="C160" s="56">
        <f>B160*100/$B$160</f>
        <v>100</v>
      </c>
      <c r="D160" s="135">
        <f>D158+D159</f>
        <v>746</v>
      </c>
      <c r="E160" s="13">
        <f>D160*100/$D$160</f>
        <v>100</v>
      </c>
      <c r="F160" s="14">
        <f>B160+D160</f>
        <v>1453</v>
      </c>
      <c r="G160" s="15">
        <f>F160*100/$F$160</f>
        <v>100</v>
      </c>
      <c r="H160" s="31"/>
    </row>
    <row r="161" spans="1:10">
      <c r="C161" s="62"/>
      <c r="D161" s="62"/>
      <c r="E161" s="62"/>
      <c r="F161" s="16"/>
    </row>
    <row r="162" spans="1:10">
      <c r="A162" s="61" t="s">
        <v>65</v>
      </c>
    </row>
    <row r="163" spans="1:10">
      <c r="A163" s="1185" t="s">
        <v>80</v>
      </c>
      <c r="B163" s="1187" t="s">
        <v>69</v>
      </c>
      <c r="C163" s="1188"/>
      <c r="D163" s="1189" t="s">
        <v>70</v>
      </c>
      <c r="E163" s="1189"/>
      <c r="F163" s="1190" t="s">
        <v>81</v>
      </c>
      <c r="G163" s="1190"/>
    </row>
    <row r="164" spans="1:10" ht="51">
      <c r="A164" s="1186"/>
      <c r="B164" s="134" t="s">
        <v>86</v>
      </c>
      <c r="C164" s="136" t="s">
        <v>87</v>
      </c>
      <c r="D164" s="134" t="s">
        <v>86</v>
      </c>
      <c r="E164" s="136" t="s">
        <v>88</v>
      </c>
      <c r="F164" s="134" t="s">
        <v>86</v>
      </c>
      <c r="G164" s="136" t="s">
        <v>72</v>
      </c>
    </row>
    <row r="165" spans="1:10">
      <c r="A165" s="12" t="s">
        <v>89</v>
      </c>
      <c r="B165" s="14">
        <f>286+5</f>
        <v>291</v>
      </c>
      <c r="C165" s="56">
        <f>B165*100/$B$167</f>
        <v>47.394136807817588</v>
      </c>
      <c r="D165" s="135">
        <f>253+11</f>
        <v>264</v>
      </c>
      <c r="E165" s="13">
        <f>D165*100/$D$167</f>
        <v>37.130801687763714</v>
      </c>
      <c r="F165" s="14">
        <f>B165+D165</f>
        <v>555</v>
      </c>
      <c r="G165" s="15">
        <f>F165*100/$F$167</f>
        <v>41.886792452830186</v>
      </c>
    </row>
    <row r="166" spans="1:10">
      <c r="A166" s="12" t="s">
        <v>90</v>
      </c>
      <c r="B166" s="14">
        <f>110+158+55</f>
        <v>323</v>
      </c>
      <c r="C166" s="56">
        <f>B166*100/$B$167</f>
        <v>52.605863192182412</v>
      </c>
      <c r="D166" s="135">
        <f>117+177+153</f>
        <v>447</v>
      </c>
      <c r="E166" s="13">
        <f>D166*100/$D$167</f>
        <v>62.869198312236286</v>
      </c>
      <c r="F166" s="14">
        <f>B166+D166</f>
        <v>770</v>
      </c>
      <c r="G166" s="15">
        <f>F166*100/$F$167</f>
        <v>58.113207547169814</v>
      </c>
    </row>
    <row r="167" spans="1:10">
      <c r="A167" s="12" t="s">
        <v>91</v>
      </c>
      <c r="B167" s="14">
        <f>B165+B166</f>
        <v>614</v>
      </c>
      <c r="C167" s="56">
        <f>B167*100/$B$167</f>
        <v>100</v>
      </c>
      <c r="D167" s="135">
        <f>D165+D166</f>
        <v>711</v>
      </c>
      <c r="E167" s="13">
        <f>D167*100/$D$167</f>
        <v>100</v>
      </c>
      <c r="F167" s="14">
        <f>B167+D167</f>
        <v>1325</v>
      </c>
      <c r="G167" s="15">
        <f>F167*100/$F$167</f>
        <v>100</v>
      </c>
      <c r="H167" s="31"/>
    </row>
    <row r="168" spans="1:10">
      <c r="C168" s="62"/>
      <c r="D168" s="62"/>
      <c r="E168" s="62"/>
      <c r="F168" s="16"/>
    </row>
    <row r="169" spans="1:10">
      <c r="A169" s="61" t="s">
        <v>66</v>
      </c>
      <c r="J169" s="5">
        <f>1325-1215</f>
        <v>110</v>
      </c>
    </row>
    <row r="170" spans="1:10">
      <c r="A170" s="1185" t="s">
        <v>80</v>
      </c>
      <c r="B170" s="1187" t="s">
        <v>69</v>
      </c>
      <c r="C170" s="1188"/>
      <c r="D170" s="1189" t="s">
        <v>70</v>
      </c>
      <c r="E170" s="1189"/>
      <c r="F170" s="1190" t="s">
        <v>81</v>
      </c>
      <c r="G170" s="1190"/>
    </row>
    <row r="171" spans="1:10" ht="51">
      <c r="A171" s="1186"/>
      <c r="B171" s="134" t="s">
        <v>86</v>
      </c>
      <c r="C171" s="136" t="s">
        <v>87</v>
      </c>
      <c r="D171" s="134" t="s">
        <v>86</v>
      </c>
      <c r="E171" s="136" t="s">
        <v>88</v>
      </c>
      <c r="F171" s="134" t="s">
        <v>86</v>
      </c>
      <c r="G171" s="136" t="s">
        <v>72</v>
      </c>
    </row>
    <row r="172" spans="1:10">
      <c r="A172" s="12" t="s">
        <v>89</v>
      </c>
      <c r="B172" s="14">
        <v>213</v>
      </c>
      <c r="C172" s="56">
        <f>B172*100/$B$174</f>
        <v>29.298486932599726</v>
      </c>
      <c r="D172" s="135">
        <v>209</v>
      </c>
      <c r="E172" s="13">
        <f>D172*100/$D$174</f>
        <v>22.32905982905983</v>
      </c>
      <c r="F172" s="14">
        <f>B172+D172</f>
        <v>422</v>
      </c>
      <c r="G172" s="15">
        <f>F172*100/$F$174</f>
        <v>25.375826819001805</v>
      </c>
    </row>
    <row r="173" spans="1:10">
      <c r="A173" s="12" t="s">
        <v>90</v>
      </c>
      <c r="B173" s="14">
        <v>514</v>
      </c>
      <c r="C173" s="56">
        <f>B173*100/$B$174</f>
        <v>70.701513067400271</v>
      </c>
      <c r="D173" s="135">
        <v>727</v>
      </c>
      <c r="E173" s="13">
        <f>D173*100/$D$174</f>
        <v>77.67094017094017</v>
      </c>
      <c r="F173" s="14">
        <f>B173+D173</f>
        <v>1241</v>
      </c>
      <c r="G173" s="15">
        <f>F173*100/$F$174</f>
        <v>74.624173180998199</v>
      </c>
    </row>
    <row r="174" spans="1:10">
      <c r="A174" s="12" t="s">
        <v>91</v>
      </c>
      <c r="B174" s="14">
        <f>B172+B173</f>
        <v>727</v>
      </c>
      <c r="C174" s="56">
        <f>B174*100/$B$174</f>
        <v>100</v>
      </c>
      <c r="D174" s="135">
        <f>D172+D173</f>
        <v>936</v>
      </c>
      <c r="E174" s="13">
        <f>D174*100/$D$174</f>
        <v>100</v>
      </c>
      <c r="F174" s="14">
        <f>B174+D174</f>
        <v>1663</v>
      </c>
      <c r="G174" s="15">
        <f>F174*100/$F$174</f>
        <v>100</v>
      </c>
      <c r="H174" s="31"/>
    </row>
    <row r="175" spans="1:10">
      <c r="C175" s="62"/>
      <c r="D175" s="62"/>
      <c r="E175" s="62"/>
      <c r="F175" s="16"/>
    </row>
  </sheetData>
  <mergeCells count="79">
    <mergeCell ref="A76:A77"/>
    <mergeCell ref="B76:C76"/>
    <mergeCell ref="D76:E76"/>
    <mergeCell ref="A148:A149"/>
    <mergeCell ref="B148:C148"/>
    <mergeCell ref="D148:E148"/>
    <mergeCell ref="A134:A135"/>
    <mergeCell ref="B134:C134"/>
    <mergeCell ref="D134:E134"/>
    <mergeCell ref="A101:A102"/>
    <mergeCell ref="B101:C101"/>
    <mergeCell ref="D101:E101"/>
    <mergeCell ref="A84:A85"/>
    <mergeCell ref="B84:C84"/>
    <mergeCell ref="D84:E84"/>
    <mergeCell ref="A93:A94"/>
    <mergeCell ref="F148:G148"/>
    <mergeCell ref="A170:A171"/>
    <mergeCell ref="B170:C170"/>
    <mergeCell ref="D170:E170"/>
    <mergeCell ref="F170:G170"/>
    <mergeCell ref="A156:A157"/>
    <mergeCell ref="B156:C156"/>
    <mergeCell ref="D156:E156"/>
    <mergeCell ref="F156:G156"/>
    <mergeCell ref="A163:A164"/>
    <mergeCell ref="B163:C163"/>
    <mergeCell ref="D163:E163"/>
    <mergeCell ref="F163:G163"/>
    <mergeCell ref="F134:G134"/>
    <mergeCell ref="A141:A142"/>
    <mergeCell ref="B141:C141"/>
    <mergeCell ref="D141:E141"/>
    <mergeCell ref="F141:G141"/>
    <mergeCell ref="J112:J113"/>
    <mergeCell ref="K112:K113"/>
    <mergeCell ref="L112:L113"/>
    <mergeCell ref="M112:M113"/>
    <mergeCell ref="A127:A128"/>
    <mergeCell ref="B127:C127"/>
    <mergeCell ref="D127:E127"/>
    <mergeCell ref="F127:G127"/>
    <mergeCell ref="A119:A120"/>
    <mergeCell ref="B119:C119"/>
    <mergeCell ref="D119:E119"/>
    <mergeCell ref="F119:G119"/>
    <mergeCell ref="F112:G112"/>
    <mergeCell ref="A112:A113"/>
    <mergeCell ref="B112:C112"/>
    <mergeCell ref="D112:E112"/>
    <mergeCell ref="A68:A69"/>
    <mergeCell ref="B68:C68"/>
    <mergeCell ref="D68:E68"/>
    <mergeCell ref="A60:A61"/>
    <mergeCell ref="B60:C60"/>
    <mergeCell ref="D60:E60"/>
    <mergeCell ref="D36:E36"/>
    <mergeCell ref="A44:A45"/>
    <mergeCell ref="B44:C44"/>
    <mergeCell ref="D44:E44"/>
    <mergeCell ref="A52:A53"/>
    <mergeCell ref="B52:C52"/>
    <mergeCell ref="D52:E52"/>
    <mergeCell ref="B93:C93"/>
    <mergeCell ref="D93:E93"/>
    <mergeCell ref="A4:A5"/>
    <mergeCell ref="B4:C4"/>
    <mergeCell ref="D4:E4"/>
    <mergeCell ref="A12:A13"/>
    <mergeCell ref="B12:C12"/>
    <mergeCell ref="D12:E12"/>
    <mergeCell ref="A20:A21"/>
    <mergeCell ref="B20:C20"/>
    <mergeCell ref="D20:E20"/>
    <mergeCell ref="A28:A29"/>
    <mergeCell ref="B28:C28"/>
    <mergeCell ref="D28:E28"/>
    <mergeCell ref="A36:A37"/>
    <mergeCell ref="B36:C36"/>
  </mergeCells>
  <pageMargins left="0.7" right="0.7" top="0.75" bottom="0.75" header="0.3" footer="0.3"/>
  <pageSetup paperSize="9" orientation="portrait" verticalDpi="0" r:id="rId1"/>
  <ignoredErrors>
    <ignoredError sqref="E16:F16 E14:F14 E15:F1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I75"/>
  <sheetViews>
    <sheetView view="pageBreakPreview" topLeftCell="A47" zoomScaleSheetLayoutView="100" workbookViewId="0">
      <selection activeCell="D9" sqref="D9"/>
    </sheetView>
  </sheetViews>
  <sheetFormatPr defaultRowHeight="15"/>
  <cols>
    <col min="1" max="1" width="23.42578125" style="5" customWidth="1"/>
    <col min="2" max="2" width="20" style="5" customWidth="1"/>
    <col min="3" max="3" width="23.5703125" style="5" customWidth="1"/>
    <col min="4" max="4" width="26.5703125" style="43" customWidth="1"/>
    <col min="5" max="5" width="17.7109375" style="5" customWidth="1"/>
    <col min="6" max="6" width="26.7109375" style="5" customWidth="1"/>
    <col min="7" max="7" width="22.85546875" style="5" customWidth="1"/>
    <col min="8" max="8" width="16.85546875" style="5" customWidth="1"/>
    <col min="9" max="9" width="19.42578125" style="5" customWidth="1"/>
    <col min="10" max="16384" width="9.140625" style="5"/>
  </cols>
  <sheetData>
    <row r="1" spans="1:8">
      <c r="B1" s="42"/>
      <c r="C1" s="42"/>
    </row>
    <row r="2" spans="1:8">
      <c r="A2" s="42"/>
    </row>
    <row r="3" spans="1:8" ht="33.75" customHeight="1">
      <c r="A3" s="139" t="s">
        <v>0</v>
      </c>
      <c r="B3" s="139" t="s">
        <v>2</v>
      </c>
      <c r="C3" s="139" t="s">
        <v>1</v>
      </c>
      <c r="D3" s="326" t="s">
        <v>3</v>
      </c>
      <c r="E3" s="139" t="s">
        <v>4</v>
      </c>
      <c r="F3" s="139" t="s">
        <v>332</v>
      </c>
      <c r="G3" s="139" t="s">
        <v>331</v>
      </c>
      <c r="H3" s="139" t="s">
        <v>5</v>
      </c>
    </row>
    <row r="4" spans="1:8" ht="28.5" customHeight="1">
      <c r="A4" s="205" t="s">
        <v>302</v>
      </c>
      <c r="B4" s="205"/>
      <c r="C4" s="242"/>
      <c r="D4" s="339"/>
      <c r="E4" s="340"/>
      <c r="F4" s="340"/>
      <c r="G4" s="340"/>
      <c r="H4" s="340"/>
    </row>
    <row r="5" spans="1:8">
      <c r="A5" s="139"/>
      <c r="B5" s="1207" t="s">
        <v>302</v>
      </c>
      <c r="C5" s="137" t="s">
        <v>312</v>
      </c>
      <c r="D5" s="329" t="s">
        <v>323</v>
      </c>
      <c r="E5" s="298" t="s">
        <v>245</v>
      </c>
      <c r="H5" s="298">
        <v>1</v>
      </c>
    </row>
    <row r="6" spans="1:8">
      <c r="A6" s="139"/>
      <c r="B6" s="1208"/>
      <c r="C6" s="1205" t="s">
        <v>313</v>
      </c>
      <c r="D6" s="329" t="s">
        <v>323</v>
      </c>
      <c r="E6" s="298" t="s">
        <v>245</v>
      </c>
      <c r="F6" s="298"/>
      <c r="G6" s="333"/>
      <c r="H6" s="1198">
        <v>38</v>
      </c>
    </row>
    <row r="7" spans="1:8">
      <c r="A7" s="139"/>
      <c r="B7" s="1208"/>
      <c r="C7" s="1206"/>
      <c r="D7" s="329" t="s">
        <v>324</v>
      </c>
      <c r="E7" s="298" t="s">
        <v>325</v>
      </c>
      <c r="F7" s="298"/>
      <c r="G7" s="334"/>
      <c r="H7" s="1199"/>
    </row>
    <row r="8" spans="1:8">
      <c r="A8" s="139"/>
      <c r="B8" s="1208"/>
      <c r="C8" s="137" t="s">
        <v>314</v>
      </c>
      <c r="D8" s="329" t="s">
        <v>323</v>
      </c>
      <c r="E8" s="298" t="s">
        <v>245</v>
      </c>
      <c r="F8" s="298"/>
      <c r="G8" s="298"/>
      <c r="H8" s="298">
        <v>1</v>
      </c>
    </row>
    <row r="9" spans="1:8">
      <c r="A9" s="139"/>
      <c r="B9" s="1208"/>
      <c r="C9" s="137" t="s">
        <v>315</v>
      </c>
      <c r="D9" s="329" t="s">
        <v>323</v>
      </c>
      <c r="E9" s="298" t="s">
        <v>245</v>
      </c>
      <c r="F9" s="298"/>
      <c r="G9" s="298"/>
      <c r="H9" s="298">
        <v>1</v>
      </c>
    </row>
    <row r="10" spans="1:8">
      <c r="A10" s="139"/>
      <c r="B10" s="1206"/>
      <c r="C10" s="137" t="s">
        <v>316</v>
      </c>
      <c r="D10" s="329" t="s">
        <v>323</v>
      </c>
      <c r="E10" s="298" t="s">
        <v>245</v>
      </c>
      <c r="F10" s="298"/>
      <c r="G10" s="298"/>
      <c r="H10" s="298">
        <v>2</v>
      </c>
    </row>
    <row r="11" spans="1:8">
      <c r="A11" s="201" t="s">
        <v>299</v>
      </c>
      <c r="B11" s="205"/>
      <c r="C11" s="341"/>
      <c r="D11" s="342"/>
      <c r="E11" s="343"/>
      <c r="F11" s="343"/>
      <c r="G11" s="343"/>
      <c r="H11" s="343"/>
    </row>
    <row r="12" spans="1:8" hidden="1">
      <c r="A12" s="171"/>
      <c r="B12" s="200" t="s">
        <v>299</v>
      </c>
      <c r="C12" s="99"/>
      <c r="D12" s="40"/>
      <c r="E12" s="41"/>
      <c r="F12" s="41"/>
      <c r="G12" s="41"/>
      <c r="H12" s="41"/>
    </row>
    <row r="13" spans="1:8" hidden="1">
      <c r="A13" s="171"/>
      <c r="B13" s="200" t="s">
        <v>225</v>
      </c>
      <c r="C13" s="99"/>
      <c r="D13" s="40"/>
      <c r="E13" s="41"/>
      <c r="F13" s="41"/>
      <c r="G13" s="41"/>
      <c r="H13" s="41"/>
    </row>
    <row r="14" spans="1:8" hidden="1">
      <c r="A14" s="171"/>
      <c r="B14" s="200" t="s">
        <v>301</v>
      </c>
      <c r="C14" s="99"/>
      <c r="D14" s="40"/>
      <c r="E14" s="41"/>
      <c r="F14" s="41"/>
      <c r="G14" s="41"/>
      <c r="H14" s="41"/>
    </row>
    <row r="15" spans="1:8" ht="15.75" hidden="1">
      <c r="A15" s="176"/>
      <c r="B15" s="200" t="s">
        <v>300</v>
      </c>
      <c r="C15" s="99"/>
      <c r="D15" s="41"/>
      <c r="E15" s="41"/>
      <c r="F15" s="41"/>
      <c r="G15" s="41"/>
      <c r="H15" s="41"/>
    </row>
    <row r="16" spans="1:8" ht="15.75">
      <c r="A16" s="184" t="s">
        <v>254</v>
      </c>
      <c r="B16" s="184"/>
      <c r="C16" s="341"/>
      <c r="D16" s="343"/>
      <c r="E16" s="343"/>
      <c r="F16" s="343"/>
      <c r="G16" s="343"/>
      <c r="H16" s="343"/>
    </row>
    <row r="17" spans="1:8" ht="15.75" hidden="1">
      <c r="A17" s="108"/>
      <c r="B17" s="102" t="s">
        <v>255</v>
      </c>
      <c r="C17" s="99"/>
      <c r="D17" s="41"/>
      <c r="E17" s="41"/>
      <c r="F17" s="41"/>
      <c r="G17" s="41"/>
      <c r="H17" s="41"/>
    </row>
    <row r="18" spans="1:8" ht="15.75">
      <c r="A18" s="213"/>
      <c r="B18" s="214" t="s">
        <v>256</v>
      </c>
      <c r="C18" s="330" t="s">
        <v>311</v>
      </c>
      <c r="D18" s="329" t="s">
        <v>323</v>
      </c>
      <c r="E18" s="298" t="s">
        <v>245</v>
      </c>
      <c r="F18" s="298"/>
      <c r="G18" s="298"/>
      <c r="H18" s="298">
        <v>2</v>
      </c>
    </row>
    <row r="19" spans="1:8" ht="15" customHeight="1">
      <c r="A19" s="184" t="s">
        <v>257</v>
      </c>
      <c r="B19" s="184"/>
      <c r="C19" s="341"/>
      <c r="D19" s="342"/>
      <c r="E19" s="342"/>
      <c r="F19" s="343"/>
      <c r="G19" s="343"/>
      <c r="H19" s="343"/>
    </row>
    <row r="20" spans="1:8" ht="15.75" customHeight="1">
      <c r="A20" s="212"/>
      <c r="B20" s="1200" t="s">
        <v>258</v>
      </c>
      <c r="C20" s="1202" t="s">
        <v>326</v>
      </c>
      <c r="D20" s="327" t="s">
        <v>323</v>
      </c>
      <c r="E20" s="298" t="s">
        <v>245</v>
      </c>
      <c r="F20" s="298">
        <v>747</v>
      </c>
      <c r="G20" s="298">
        <v>5955</v>
      </c>
      <c r="H20" s="1198">
        <v>30</v>
      </c>
    </row>
    <row r="21" spans="1:8" ht="19.5" customHeight="1">
      <c r="A21" s="102"/>
      <c r="B21" s="1201"/>
      <c r="C21" s="1203"/>
      <c r="D21" s="298" t="s">
        <v>329</v>
      </c>
      <c r="E21" s="298" t="s">
        <v>330</v>
      </c>
      <c r="F21" s="298" t="s">
        <v>334</v>
      </c>
      <c r="G21" s="298"/>
      <c r="H21" s="1199"/>
    </row>
    <row r="22" spans="1:8" ht="15.75">
      <c r="A22" s="102"/>
      <c r="B22" s="102" t="s">
        <v>259</v>
      </c>
      <c r="C22" s="99"/>
      <c r="D22" s="40"/>
      <c r="E22" s="40"/>
      <c r="F22" s="41"/>
      <c r="G22" s="41"/>
      <c r="H22" s="41"/>
    </row>
    <row r="23" spans="1:8" ht="16.5" customHeight="1">
      <c r="A23" s="176"/>
      <c r="B23" s="102" t="s">
        <v>260</v>
      </c>
      <c r="C23" s="328" t="s">
        <v>308</v>
      </c>
      <c r="D23" s="327"/>
      <c r="E23" s="327" t="s">
        <v>304</v>
      </c>
      <c r="F23" s="298"/>
      <c r="G23" s="298"/>
      <c r="H23" s="298">
        <v>16</v>
      </c>
    </row>
    <row r="24" spans="1:8" ht="15.75" customHeight="1">
      <c r="A24" s="184" t="s">
        <v>261</v>
      </c>
      <c r="B24" s="184"/>
      <c r="C24" s="344"/>
      <c r="D24" s="339"/>
      <c r="E24" s="339"/>
      <c r="F24" s="340"/>
      <c r="G24" s="340"/>
      <c r="H24" s="340"/>
    </row>
    <row r="25" spans="1:8" ht="15.75" hidden="1">
      <c r="A25" s="102"/>
      <c r="B25" s="102" t="s">
        <v>262</v>
      </c>
      <c r="C25" s="44"/>
      <c r="D25" s="40"/>
      <c r="E25" s="40"/>
      <c r="F25" s="41"/>
      <c r="G25" s="41"/>
      <c r="H25" s="41"/>
    </row>
    <row r="26" spans="1:8" ht="15.75" hidden="1">
      <c r="A26" s="176"/>
      <c r="B26" s="102" t="s">
        <v>263</v>
      </c>
      <c r="C26" s="44"/>
      <c r="D26" s="40"/>
      <c r="E26" s="40"/>
      <c r="F26" s="41"/>
      <c r="G26" s="41"/>
      <c r="H26" s="41"/>
    </row>
    <row r="27" spans="1:8" ht="13.5" customHeight="1">
      <c r="A27" s="184" t="s">
        <v>264</v>
      </c>
      <c r="B27" s="184"/>
      <c r="C27" s="345"/>
      <c r="D27" s="342"/>
      <c r="E27" s="342"/>
      <c r="F27" s="343"/>
      <c r="G27" s="343"/>
      <c r="H27" s="343"/>
    </row>
    <row r="28" spans="1:8" ht="15.75">
      <c r="A28" s="102"/>
      <c r="B28" s="102" t="s">
        <v>265</v>
      </c>
      <c r="C28" s="27" t="s">
        <v>305</v>
      </c>
      <c r="D28" s="298" t="s">
        <v>323</v>
      </c>
      <c r="E28" s="298" t="s">
        <v>306</v>
      </c>
      <c r="F28" s="298">
        <v>270</v>
      </c>
      <c r="G28" s="298">
        <v>1327</v>
      </c>
      <c r="H28" s="298">
        <v>5</v>
      </c>
    </row>
    <row r="29" spans="1:8" ht="15.75">
      <c r="A29" s="212"/>
      <c r="B29" s="102" t="s">
        <v>266</v>
      </c>
      <c r="C29" s="328" t="s">
        <v>307</v>
      </c>
      <c r="D29" s="298" t="s">
        <v>323</v>
      </c>
      <c r="E29" s="298" t="s">
        <v>306</v>
      </c>
      <c r="F29" s="298">
        <v>3378</v>
      </c>
      <c r="G29" s="298">
        <v>21735</v>
      </c>
      <c r="H29" s="298">
        <v>4</v>
      </c>
    </row>
    <row r="30" spans="1:8" ht="18" customHeight="1">
      <c r="A30" s="184" t="s">
        <v>267</v>
      </c>
      <c r="B30" s="184"/>
      <c r="C30" s="341"/>
      <c r="D30" s="342"/>
      <c r="E30" s="342"/>
      <c r="F30" s="346"/>
      <c r="G30" s="346"/>
      <c r="H30" s="346"/>
    </row>
    <row r="31" spans="1:8" ht="15.75" hidden="1">
      <c r="A31" s="102"/>
      <c r="B31" s="102" t="s">
        <v>268</v>
      </c>
      <c r="C31" s="99"/>
      <c r="D31" s="45"/>
      <c r="E31" s="45"/>
      <c r="F31" s="330"/>
      <c r="G31" s="330"/>
      <c r="H31" s="330"/>
    </row>
    <row r="32" spans="1:8" ht="15.75">
      <c r="A32" s="102"/>
      <c r="B32" s="102" t="s">
        <v>269</v>
      </c>
      <c r="C32" s="137" t="s">
        <v>309</v>
      </c>
      <c r="D32" s="298"/>
      <c r="E32" s="298" t="s">
        <v>304</v>
      </c>
      <c r="F32" s="298"/>
      <c r="G32" s="298"/>
      <c r="H32" s="298">
        <v>10</v>
      </c>
    </row>
    <row r="33" spans="1:9" ht="15.75">
      <c r="A33" s="176"/>
      <c r="B33" s="102" t="s">
        <v>270</v>
      </c>
      <c r="C33" s="328" t="s">
        <v>345</v>
      </c>
      <c r="D33" s="40"/>
      <c r="E33" s="40"/>
      <c r="F33" s="330"/>
      <c r="G33" s="330"/>
      <c r="H33" s="46">
        <v>4</v>
      </c>
    </row>
    <row r="34" spans="1:9" ht="16.5" customHeight="1">
      <c r="A34" s="184" t="s">
        <v>271</v>
      </c>
      <c r="B34" s="184"/>
      <c r="C34" s="345"/>
      <c r="D34" s="347"/>
      <c r="E34" s="347"/>
      <c r="F34" s="346"/>
      <c r="G34" s="346"/>
      <c r="H34" s="346"/>
    </row>
    <row r="35" spans="1:9" ht="15.75" customHeight="1">
      <c r="A35" s="1196"/>
      <c r="B35" s="1196" t="s">
        <v>272</v>
      </c>
      <c r="C35" s="1205" t="s">
        <v>303</v>
      </c>
      <c r="D35" s="298" t="s">
        <v>323</v>
      </c>
      <c r="E35" s="298" t="s">
        <v>245</v>
      </c>
      <c r="F35" s="298">
        <v>2560</v>
      </c>
      <c r="G35" s="298">
        <v>16078</v>
      </c>
      <c r="H35" s="1198">
        <v>62</v>
      </c>
    </row>
    <row r="36" spans="1:9" ht="15.75" customHeight="1">
      <c r="A36" s="1197"/>
      <c r="B36" s="1197"/>
      <c r="C36" s="1209"/>
      <c r="D36" s="298" t="s">
        <v>329</v>
      </c>
      <c r="E36" s="298" t="s">
        <v>330</v>
      </c>
      <c r="F36" s="330" t="s">
        <v>333</v>
      </c>
      <c r="G36" s="330"/>
      <c r="H36" s="1199"/>
    </row>
    <row r="37" spans="1:9" ht="31.5" customHeight="1">
      <c r="A37" s="102"/>
      <c r="B37" s="1200" t="s">
        <v>585</v>
      </c>
      <c r="C37" s="335" t="s">
        <v>327</v>
      </c>
      <c r="D37" s="327" t="s">
        <v>323</v>
      </c>
      <c r="E37" s="298" t="s">
        <v>245</v>
      </c>
      <c r="F37" s="330">
        <v>8978</v>
      </c>
      <c r="G37" s="330">
        <v>93836</v>
      </c>
      <c r="H37" s="298">
        <v>45</v>
      </c>
      <c r="I37" s="1191" t="s">
        <v>336</v>
      </c>
    </row>
    <row r="38" spans="1:9" ht="30">
      <c r="A38" s="102"/>
      <c r="B38" s="1206"/>
      <c r="C38" s="241" t="s">
        <v>327</v>
      </c>
      <c r="D38" s="298" t="s">
        <v>329</v>
      </c>
      <c r="E38" s="298" t="s">
        <v>330</v>
      </c>
      <c r="F38" s="330" t="s">
        <v>337</v>
      </c>
      <c r="G38" s="330"/>
      <c r="H38" s="298">
        <v>138</v>
      </c>
      <c r="I38" s="1191"/>
    </row>
    <row r="39" spans="1:9" ht="15.75">
      <c r="A39" s="102"/>
      <c r="B39" s="102" t="s">
        <v>275</v>
      </c>
      <c r="C39" s="99"/>
      <c r="D39" s="45"/>
      <c r="E39" s="45"/>
      <c r="F39" s="46"/>
      <c r="G39" s="46"/>
      <c r="H39" s="46"/>
    </row>
    <row r="40" spans="1:9" ht="15.75">
      <c r="A40" s="212"/>
      <c r="B40" s="102" t="s">
        <v>276</v>
      </c>
      <c r="C40" s="99"/>
      <c r="D40" s="45"/>
      <c r="E40" s="45"/>
      <c r="F40" s="46"/>
      <c r="G40" s="46"/>
      <c r="H40" s="46"/>
    </row>
    <row r="41" spans="1:9" ht="18.75" customHeight="1">
      <c r="A41" s="184" t="s">
        <v>277</v>
      </c>
      <c r="B41" s="184"/>
      <c r="C41" s="341"/>
      <c r="D41" s="342"/>
      <c r="E41" s="342"/>
      <c r="F41" s="348"/>
      <c r="G41" s="348"/>
      <c r="H41" s="348"/>
    </row>
    <row r="42" spans="1:9" ht="15.75" hidden="1">
      <c r="A42" s="102"/>
      <c r="B42" s="102" t="s">
        <v>278</v>
      </c>
      <c r="C42" s="99"/>
      <c r="D42" s="45"/>
      <c r="E42" s="45"/>
      <c r="F42" s="41"/>
      <c r="G42" s="41"/>
      <c r="H42" s="41"/>
    </row>
    <row r="43" spans="1:9" ht="15.75" hidden="1">
      <c r="A43" s="102"/>
      <c r="B43" s="102" t="s">
        <v>279</v>
      </c>
      <c r="C43" s="99"/>
      <c r="D43" s="45"/>
      <c r="E43" s="45"/>
      <c r="F43" s="41"/>
      <c r="G43" s="41"/>
      <c r="H43" s="41"/>
    </row>
    <row r="44" spans="1:9" ht="15.75" hidden="1">
      <c r="A44" s="102"/>
      <c r="B44" s="102" t="s">
        <v>280</v>
      </c>
      <c r="C44" s="99"/>
      <c r="D44" s="40"/>
      <c r="E44" s="40"/>
      <c r="F44" s="41"/>
      <c r="G44" s="41"/>
      <c r="H44" s="41"/>
    </row>
    <row r="45" spans="1:9" ht="15.75" hidden="1">
      <c r="A45" s="102"/>
      <c r="B45" s="102" t="s">
        <v>281</v>
      </c>
      <c r="C45" s="99"/>
      <c r="D45" s="40"/>
      <c r="E45" s="40"/>
      <c r="F45" s="99"/>
      <c r="G45" s="99"/>
      <c r="H45" s="99"/>
    </row>
    <row r="46" spans="1:9" ht="15.75" hidden="1">
      <c r="A46" s="212"/>
      <c r="B46" s="102" t="s">
        <v>282</v>
      </c>
      <c r="C46" s="99"/>
      <c r="D46" s="40"/>
      <c r="E46" s="40"/>
      <c r="F46" s="41"/>
      <c r="G46" s="41"/>
      <c r="H46" s="41"/>
    </row>
    <row r="47" spans="1:9" ht="16.5" customHeight="1">
      <c r="A47" s="184" t="s">
        <v>283</v>
      </c>
      <c r="B47" s="184"/>
      <c r="C47" s="341"/>
      <c r="D47" s="342"/>
      <c r="E47" s="342"/>
      <c r="F47" s="343"/>
      <c r="G47" s="343"/>
      <c r="H47" s="343"/>
    </row>
    <row r="48" spans="1:9" ht="15.75">
      <c r="A48" s="102"/>
      <c r="B48" s="802" t="s">
        <v>284</v>
      </c>
      <c r="C48" s="330" t="s">
        <v>317</v>
      </c>
      <c r="D48" s="330"/>
      <c r="E48" s="330" t="s">
        <v>318</v>
      </c>
      <c r="F48" s="298"/>
      <c r="G48" s="298"/>
      <c r="H48" s="298">
        <v>1</v>
      </c>
    </row>
    <row r="49" spans="1:8" ht="15.75">
      <c r="A49" s="102"/>
      <c r="B49" s="1212" t="s">
        <v>286</v>
      </c>
      <c r="C49" s="1192" t="s">
        <v>322</v>
      </c>
      <c r="D49" s="338" t="s">
        <v>323</v>
      </c>
      <c r="E49" s="337" t="s">
        <v>245</v>
      </c>
      <c r="F49" s="338">
        <v>270</v>
      </c>
      <c r="G49" s="338">
        <v>799</v>
      </c>
      <c r="H49" s="1194">
        <v>3</v>
      </c>
    </row>
    <row r="50" spans="1:8" ht="15.75">
      <c r="A50" s="102"/>
      <c r="B50" s="1213"/>
      <c r="C50" s="1193"/>
      <c r="D50" s="338" t="s">
        <v>329</v>
      </c>
      <c r="E50" s="337" t="s">
        <v>330</v>
      </c>
      <c r="F50" s="338" t="s">
        <v>338</v>
      </c>
      <c r="G50" s="338"/>
      <c r="H50" s="1195"/>
    </row>
    <row r="51" spans="1:8" ht="15.75" hidden="1">
      <c r="A51" s="102"/>
      <c r="B51" s="102" t="s">
        <v>285</v>
      </c>
      <c r="C51" s="330"/>
      <c r="D51" s="298"/>
      <c r="E51" s="298"/>
      <c r="F51" s="298"/>
      <c r="G51" s="298"/>
      <c r="H51" s="298"/>
    </row>
    <row r="52" spans="1:8" ht="15.75" hidden="1">
      <c r="A52" s="102"/>
      <c r="B52" s="102" t="s">
        <v>286</v>
      </c>
      <c r="C52" s="44"/>
      <c r="D52" s="40"/>
      <c r="E52" s="40"/>
      <c r="F52" s="41"/>
      <c r="G52" s="41"/>
      <c r="H52" s="41"/>
    </row>
    <row r="53" spans="1:8" ht="15.75" hidden="1">
      <c r="A53" s="102"/>
      <c r="B53" s="102" t="s">
        <v>287</v>
      </c>
      <c r="C53" s="44"/>
      <c r="D53" s="40"/>
      <c r="E53" s="40"/>
      <c r="F53" s="41"/>
      <c r="G53" s="41"/>
      <c r="H53" s="41"/>
    </row>
    <row r="54" spans="1:8" ht="31.5" hidden="1">
      <c r="A54" s="176"/>
      <c r="B54" s="100" t="s">
        <v>298</v>
      </c>
      <c r="C54" s="44"/>
      <c r="D54" s="40"/>
      <c r="E54" s="40"/>
      <c r="F54" s="41"/>
      <c r="G54" s="41"/>
      <c r="H54" s="41"/>
    </row>
    <row r="55" spans="1:8" ht="15.75">
      <c r="A55" s="184" t="s">
        <v>288</v>
      </c>
      <c r="B55" s="184"/>
      <c r="C55" s="345"/>
      <c r="D55" s="347"/>
      <c r="E55" s="347"/>
      <c r="F55" s="343"/>
      <c r="G55" s="343"/>
      <c r="H55" s="343"/>
    </row>
    <row r="56" spans="1:8" ht="15.75">
      <c r="A56" s="212"/>
      <c r="B56" s="1200" t="s">
        <v>289</v>
      </c>
      <c r="C56" s="44" t="s">
        <v>452</v>
      </c>
      <c r="D56" s="45"/>
      <c r="E56" s="45"/>
      <c r="F56" s="41"/>
      <c r="G56" s="41"/>
      <c r="H56" s="41"/>
    </row>
    <row r="57" spans="1:8" ht="15.75">
      <c r="A57" s="102"/>
      <c r="B57" s="1201"/>
      <c r="C57" s="243" t="s">
        <v>310</v>
      </c>
      <c r="D57" s="298"/>
      <c r="E57" s="298" t="s">
        <v>304</v>
      </c>
      <c r="F57" s="298"/>
      <c r="G57" s="298"/>
      <c r="H57" s="298">
        <v>15</v>
      </c>
    </row>
    <row r="58" spans="1:8" ht="15.75">
      <c r="A58" s="102"/>
      <c r="B58" s="102" t="s">
        <v>290</v>
      </c>
      <c r="C58" s="243" t="s">
        <v>320</v>
      </c>
      <c r="D58" s="298" t="s">
        <v>329</v>
      </c>
      <c r="E58" s="298" t="s">
        <v>321</v>
      </c>
      <c r="F58" s="298"/>
      <c r="G58" s="298"/>
      <c r="H58" s="298">
        <v>1</v>
      </c>
    </row>
    <row r="59" spans="1:8" ht="15.75">
      <c r="A59" s="176"/>
      <c r="B59" s="102" t="s">
        <v>291</v>
      </c>
      <c r="C59" s="99"/>
      <c r="D59" s="40"/>
      <c r="E59" s="40"/>
      <c r="F59" s="41"/>
      <c r="G59" s="41"/>
      <c r="H59" s="41"/>
    </row>
    <row r="60" spans="1:8" ht="31.5">
      <c r="A60" s="184" t="s">
        <v>292</v>
      </c>
      <c r="B60" s="184"/>
      <c r="C60" s="341"/>
      <c r="D60" s="342"/>
      <c r="E60" s="342"/>
      <c r="F60" s="341"/>
      <c r="G60" s="341"/>
      <c r="H60" s="341"/>
    </row>
    <row r="61" spans="1:8" ht="15.75" hidden="1">
      <c r="A61" s="102"/>
      <c r="B61" s="102" t="s">
        <v>293</v>
      </c>
      <c r="C61" s="99"/>
      <c r="D61" s="40"/>
      <c r="E61" s="40"/>
      <c r="F61" s="99"/>
      <c r="G61" s="99"/>
      <c r="H61" s="99"/>
    </row>
    <row r="62" spans="1:8" ht="31.5" hidden="1">
      <c r="A62" s="102"/>
      <c r="B62" s="102" t="s">
        <v>294</v>
      </c>
      <c r="C62" s="99"/>
      <c r="D62" s="45"/>
      <c r="E62" s="45"/>
      <c r="F62" s="99"/>
      <c r="G62" s="99"/>
      <c r="H62" s="99"/>
    </row>
    <row r="63" spans="1:8" ht="16.5" hidden="1" customHeight="1">
      <c r="A63" s="102"/>
      <c r="B63" s="102" t="s">
        <v>295</v>
      </c>
      <c r="C63" s="99"/>
      <c r="D63" s="45"/>
      <c r="E63" s="45"/>
      <c r="F63" s="99"/>
      <c r="G63" s="99"/>
      <c r="H63" s="99"/>
    </row>
    <row r="64" spans="1:8" ht="15.75">
      <c r="A64" s="209"/>
      <c r="B64" s="1200" t="s">
        <v>296</v>
      </c>
      <c r="C64" s="1210" t="s">
        <v>328</v>
      </c>
      <c r="D64" s="330" t="s">
        <v>323</v>
      </c>
      <c r="E64" s="330" t="s">
        <v>245</v>
      </c>
      <c r="F64" s="330">
        <v>2996</v>
      </c>
      <c r="G64" s="330">
        <v>13738</v>
      </c>
      <c r="H64" s="1198">
        <v>47</v>
      </c>
    </row>
    <row r="65" spans="1:9" ht="15.75">
      <c r="A65" s="209"/>
      <c r="B65" s="1204"/>
      <c r="C65" s="1211"/>
      <c r="D65" s="330" t="s">
        <v>329</v>
      </c>
      <c r="E65" s="330" t="s">
        <v>330</v>
      </c>
      <c r="F65" s="330" t="s">
        <v>335</v>
      </c>
      <c r="G65" s="330"/>
      <c r="H65" s="1199"/>
    </row>
    <row r="66" spans="1:9">
      <c r="A66" s="20"/>
      <c r="B66" s="1201"/>
      <c r="C66" s="298" t="s">
        <v>319</v>
      </c>
      <c r="D66" s="330" t="s">
        <v>329</v>
      </c>
      <c r="E66" s="298" t="s">
        <v>318</v>
      </c>
      <c r="F66" s="298"/>
      <c r="G66" s="298"/>
      <c r="H66" s="298">
        <v>2</v>
      </c>
    </row>
    <row r="67" spans="1:9" ht="27" customHeight="1">
      <c r="A67" s="349"/>
      <c r="B67" s="350"/>
      <c r="C67" s="351"/>
      <c r="D67" s="352"/>
      <c r="E67" s="352"/>
      <c r="F67" s="351"/>
      <c r="G67" s="351"/>
      <c r="H67" s="351"/>
    </row>
    <row r="68" spans="1:9">
      <c r="B68" s="18"/>
      <c r="E68" s="43"/>
      <c r="I68" s="18"/>
    </row>
    <row r="69" spans="1:9">
      <c r="B69" s="18"/>
      <c r="D69" s="5"/>
      <c r="I69" s="18"/>
    </row>
    <row r="70" spans="1:9">
      <c r="B70" s="18"/>
      <c r="D70" s="5"/>
      <c r="I70" s="18"/>
    </row>
    <row r="71" spans="1:9">
      <c r="B71" s="18"/>
      <c r="C71" s="18"/>
      <c r="D71" s="336"/>
      <c r="E71" s="18"/>
      <c r="F71" s="18"/>
      <c r="G71" s="18"/>
      <c r="H71" s="18"/>
      <c r="I71" s="18"/>
    </row>
    <row r="72" spans="1:9">
      <c r="B72" s="18"/>
      <c r="C72" s="18"/>
      <c r="D72" s="336"/>
      <c r="E72" s="18"/>
      <c r="F72" s="18"/>
      <c r="G72" s="18"/>
      <c r="H72" s="18"/>
      <c r="I72" s="18"/>
    </row>
    <row r="73" spans="1:9">
      <c r="B73" s="18"/>
      <c r="C73" s="18"/>
      <c r="D73" s="336"/>
      <c r="E73" s="18"/>
      <c r="F73" s="18"/>
      <c r="G73" s="18"/>
      <c r="H73" s="18"/>
      <c r="I73" s="18"/>
    </row>
    <row r="74" spans="1:9">
      <c r="B74" s="18"/>
      <c r="C74" s="18"/>
      <c r="D74" s="336"/>
      <c r="E74" s="18"/>
      <c r="F74" s="18"/>
      <c r="G74" s="18"/>
      <c r="H74" s="18"/>
      <c r="I74" s="18"/>
    </row>
    <row r="75" spans="1:9">
      <c r="C75" s="18"/>
      <c r="D75" s="336"/>
      <c r="E75" s="18"/>
      <c r="F75" s="18"/>
      <c r="G75" s="18"/>
      <c r="H75" s="18"/>
    </row>
  </sheetData>
  <mergeCells count="19">
    <mergeCell ref="B20:B21"/>
    <mergeCell ref="C20:C21"/>
    <mergeCell ref="H20:H21"/>
    <mergeCell ref="B64:B66"/>
    <mergeCell ref="C6:C7"/>
    <mergeCell ref="B5:B10"/>
    <mergeCell ref="H6:H7"/>
    <mergeCell ref="C35:C36"/>
    <mergeCell ref="B35:B36"/>
    <mergeCell ref="C64:C65"/>
    <mergeCell ref="H64:H65"/>
    <mergeCell ref="B56:B57"/>
    <mergeCell ref="B49:B50"/>
    <mergeCell ref="B37:B38"/>
    <mergeCell ref="I37:I38"/>
    <mergeCell ref="C49:C50"/>
    <mergeCell ref="H49:H50"/>
    <mergeCell ref="A35:A36"/>
    <mergeCell ref="H35:H36"/>
  </mergeCells>
  <pageMargins left="0.70866141732283472" right="0.70866141732283472" top="0.31" bottom="0.16" header="0.31496062992125984" footer="0.19"/>
  <pageSetup paperSize="9" scale="7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69"/>
  <sheetViews>
    <sheetView workbookViewId="0">
      <selection activeCell="I21" sqref="I21"/>
    </sheetView>
  </sheetViews>
  <sheetFormatPr defaultRowHeight="15"/>
  <cols>
    <col min="1" max="1" width="23.28515625" customWidth="1"/>
    <col min="2" max="2" width="20" customWidth="1"/>
    <col min="3" max="4" width="19.28515625" customWidth="1"/>
    <col min="5" max="5" width="16.85546875" customWidth="1"/>
    <col min="6" max="6" width="25.140625" customWidth="1"/>
    <col min="7" max="7" width="19.28515625" customWidth="1"/>
    <col min="8" max="8" width="16.140625" customWidth="1"/>
  </cols>
  <sheetData>
    <row r="1" spans="1:9" ht="38.25" customHeight="1">
      <c r="A1" s="525" t="s">
        <v>0</v>
      </c>
      <c r="B1" s="525" t="s">
        <v>2</v>
      </c>
      <c r="C1" s="525" t="s">
        <v>1</v>
      </c>
      <c r="D1" s="326" t="s">
        <v>3</v>
      </c>
      <c r="E1" s="525" t="s">
        <v>4</v>
      </c>
      <c r="F1" s="525" t="s">
        <v>332</v>
      </c>
      <c r="G1" s="525" t="s">
        <v>331</v>
      </c>
      <c r="H1" s="525" t="s">
        <v>5</v>
      </c>
    </row>
    <row r="2" spans="1:9">
      <c r="A2" s="205" t="s">
        <v>302</v>
      </c>
      <c r="B2" s="205"/>
      <c r="C2" s="521"/>
      <c r="D2" s="533"/>
      <c r="E2" s="521"/>
      <c r="F2" s="521"/>
      <c r="G2" s="521"/>
      <c r="H2" s="521"/>
    </row>
    <row r="3" spans="1:9">
      <c r="A3" s="525"/>
      <c r="B3" s="1207" t="s">
        <v>302</v>
      </c>
      <c r="C3" s="1221" t="s">
        <v>454</v>
      </c>
      <c r="D3" s="1223" t="s">
        <v>455</v>
      </c>
      <c r="E3" s="534" t="s">
        <v>456</v>
      </c>
      <c r="F3" s="523">
        <v>6</v>
      </c>
      <c r="G3" s="1217">
        <v>501.4</v>
      </c>
      <c r="H3" s="1217">
        <v>58</v>
      </c>
    </row>
    <row r="4" spans="1:9">
      <c r="A4" s="525"/>
      <c r="B4" s="1208"/>
      <c r="C4" s="1222"/>
      <c r="D4" s="1224"/>
      <c r="E4" s="534" t="s">
        <v>457</v>
      </c>
      <c r="F4" s="523">
        <v>4.0999999999999996</v>
      </c>
      <c r="G4" s="1213"/>
      <c r="H4" s="1213"/>
      <c r="I4" t="s">
        <v>584</v>
      </c>
    </row>
    <row r="5" spans="1:9">
      <c r="A5" s="525"/>
      <c r="B5" s="1208"/>
      <c r="C5" s="444"/>
      <c r="D5" s="534"/>
      <c r="E5" s="523"/>
      <c r="F5" s="526"/>
      <c r="G5" s="526"/>
      <c r="H5" s="526"/>
    </row>
    <row r="6" spans="1:9">
      <c r="A6" s="525"/>
      <c r="B6" s="1208"/>
      <c r="C6" s="137"/>
      <c r="D6" s="534"/>
      <c r="E6" s="523"/>
      <c r="F6" s="523"/>
      <c r="G6" s="523"/>
      <c r="H6" s="523"/>
    </row>
    <row r="7" spans="1:9">
      <c r="A7" s="525"/>
      <c r="B7" s="1208"/>
      <c r="C7" s="137"/>
      <c r="D7" s="534"/>
      <c r="E7" s="523"/>
      <c r="F7" s="523"/>
      <c r="G7" s="523"/>
      <c r="H7" s="523"/>
    </row>
    <row r="8" spans="1:9">
      <c r="A8" s="525"/>
      <c r="B8" s="1206"/>
      <c r="C8" s="137"/>
      <c r="D8" s="534"/>
      <c r="E8" s="523"/>
      <c r="F8" s="523"/>
      <c r="G8" s="523"/>
      <c r="H8" s="523"/>
    </row>
    <row r="9" spans="1:9">
      <c r="A9" s="201" t="s">
        <v>299</v>
      </c>
      <c r="B9" s="205"/>
      <c r="C9" s="532"/>
      <c r="D9" s="533"/>
      <c r="E9" s="521"/>
      <c r="F9" s="521"/>
      <c r="G9" s="521"/>
      <c r="H9" s="521"/>
    </row>
    <row r="10" spans="1:9" hidden="1">
      <c r="A10" s="171"/>
      <c r="B10" s="200" t="s">
        <v>299</v>
      </c>
      <c r="C10" s="27"/>
      <c r="D10" s="535"/>
      <c r="E10" s="523"/>
      <c r="F10" s="523"/>
      <c r="G10" s="523"/>
      <c r="H10" s="523"/>
    </row>
    <row r="11" spans="1:9" hidden="1">
      <c r="A11" s="171"/>
      <c r="B11" s="200" t="s">
        <v>225</v>
      </c>
      <c r="C11" s="27"/>
      <c r="D11" s="535"/>
      <c r="E11" s="523"/>
      <c r="F11" s="523"/>
      <c r="G11" s="523"/>
      <c r="H11" s="523"/>
    </row>
    <row r="12" spans="1:9" hidden="1">
      <c r="A12" s="171"/>
      <c r="B12" s="200" t="s">
        <v>301</v>
      </c>
      <c r="C12" s="27"/>
      <c r="D12" s="535"/>
      <c r="E12" s="523"/>
      <c r="F12" s="523"/>
      <c r="G12" s="523"/>
      <c r="H12" s="523"/>
    </row>
    <row r="13" spans="1:9" ht="15.75" hidden="1">
      <c r="A13" s="176"/>
      <c r="B13" s="200" t="s">
        <v>300</v>
      </c>
      <c r="C13" s="27"/>
      <c r="D13" s="523"/>
      <c r="E13" s="523"/>
      <c r="F13" s="523"/>
      <c r="G13" s="523"/>
      <c r="H13" s="523"/>
    </row>
    <row r="14" spans="1:9" ht="16.5" customHeight="1">
      <c r="A14" s="184" t="s">
        <v>254</v>
      </c>
      <c r="B14" s="184"/>
      <c r="C14" s="532"/>
      <c r="D14" s="521"/>
      <c r="E14" s="521"/>
      <c r="F14" s="521"/>
      <c r="G14" s="521"/>
      <c r="H14" s="521"/>
    </row>
    <row r="15" spans="1:9" ht="15.75" hidden="1">
      <c r="A15" s="232"/>
      <c r="B15" s="102" t="s">
        <v>255</v>
      </c>
      <c r="C15" s="27"/>
      <c r="D15" s="523"/>
      <c r="E15" s="523"/>
      <c r="F15" s="523"/>
      <c r="G15" s="523"/>
      <c r="H15" s="523"/>
    </row>
    <row r="16" spans="1:9" ht="15.75" hidden="1">
      <c r="A16" s="213"/>
      <c r="B16" s="214" t="s">
        <v>256</v>
      </c>
      <c r="C16" s="137"/>
      <c r="D16" s="523"/>
      <c r="E16" s="523"/>
      <c r="F16" s="523"/>
      <c r="G16" s="523"/>
      <c r="H16" s="523"/>
    </row>
    <row r="17" spans="1:8" ht="16.5" customHeight="1">
      <c r="A17" s="184" t="s">
        <v>257</v>
      </c>
      <c r="B17" s="184"/>
      <c r="C17" s="532"/>
      <c r="D17" s="533"/>
      <c r="E17" s="533"/>
      <c r="F17" s="521"/>
      <c r="G17" s="521"/>
      <c r="H17" s="521"/>
    </row>
    <row r="18" spans="1:8" ht="14.25" customHeight="1">
      <c r="A18" s="1214"/>
      <c r="B18" s="1212" t="s">
        <v>258</v>
      </c>
      <c r="C18" s="1217" t="s">
        <v>475</v>
      </c>
      <c r="D18" s="1218" t="s">
        <v>476</v>
      </c>
      <c r="E18" s="523" t="s">
        <v>480</v>
      </c>
      <c r="F18" s="523">
        <v>238</v>
      </c>
      <c r="G18" s="1205"/>
      <c r="H18" s="1217">
        <v>10</v>
      </c>
    </row>
    <row r="19" spans="1:8">
      <c r="A19" s="1215"/>
      <c r="B19" s="1213"/>
      <c r="C19" s="1217"/>
      <c r="D19" s="1219"/>
      <c r="E19" s="523" t="s">
        <v>477</v>
      </c>
      <c r="F19" s="523">
        <v>23</v>
      </c>
      <c r="G19" s="1229"/>
      <c r="H19" s="1213"/>
    </row>
    <row r="20" spans="1:8">
      <c r="A20" s="1215"/>
      <c r="B20" s="1213"/>
      <c r="C20" s="1217"/>
      <c r="D20" s="1219"/>
      <c r="E20" s="523" t="s">
        <v>478</v>
      </c>
      <c r="F20" s="523">
        <v>87</v>
      </c>
      <c r="G20" s="1229"/>
      <c r="H20" s="1213"/>
    </row>
    <row r="21" spans="1:8">
      <c r="A21" s="1216"/>
      <c r="B21" s="1213"/>
      <c r="C21" s="1217"/>
      <c r="D21" s="1220"/>
      <c r="E21" s="523" t="s">
        <v>479</v>
      </c>
      <c r="F21" s="523">
        <v>21</v>
      </c>
      <c r="G21" s="1209"/>
      <c r="H21" s="1213"/>
    </row>
    <row r="22" spans="1:8" ht="15.75" hidden="1">
      <c r="A22" s="102"/>
      <c r="B22" s="524"/>
      <c r="C22" s="526"/>
      <c r="D22" s="526"/>
      <c r="E22" s="526"/>
      <c r="F22" s="526"/>
      <c r="G22" s="523"/>
      <c r="H22" s="526"/>
    </row>
    <row r="23" spans="1:8" ht="15.75" hidden="1">
      <c r="A23" s="102"/>
      <c r="B23" s="102" t="s">
        <v>259</v>
      </c>
      <c r="C23" s="27"/>
      <c r="D23" s="535"/>
      <c r="E23" s="535"/>
      <c r="F23" s="523"/>
      <c r="G23" s="523"/>
      <c r="H23" s="523"/>
    </row>
    <row r="24" spans="1:8" ht="15.75" hidden="1">
      <c r="A24" s="176"/>
      <c r="B24" s="102" t="s">
        <v>260</v>
      </c>
      <c r="C24" s="27"/>
      <c r="D24" s="535"/>
      <c r="E24" s="535"/>
      <c r="F24" s="523"/>
      <c r="G24" s="523"/>
      <c r="H24" s="523"/>
    </row>
    <row r="25" spans="1:8" ht="18" customHeight="1">
      <c r="A25" s="184" t="s">
        <v>261</v>
      </c>
      <c r="B25" s="184"/>
      <c r="C25" s="532"/>
      <c r="D25" s="533"/>
      <c r="E25" s="533"/>
      <c r="F25" s="521"/>
      <c r="G25" s="521"/>
      <c r="H25" s="521"/>
    </row>
    <row r="26" spans="1:8" ht="15.75">
      <c r="A26" s="102"/>
      <c r="B26" s="102" t="s">
        <v>262</v>
      </c>
      <c r="C26" s="27"/>
      <c r="D26" s="535" t="s">
        <v>452</v>
      </c>
      <c r="E26" s="535"/>
      <c r="F26" s="523"/>
      <c r="G26" s="523"/>
      <c r="H26" s="523"/>
    </row>
    <row r="27" spans="1:8" ht="15.75" hidden="1">
      <c r="A27" s="176"/>
      <c r="B27" s="102" t="s">
        <v>263</v>
      </c>
      <c r="C27" s="27"/>
      <c r="D27" s="535"/>
      <c r="E27" s="535"/>
      <c r="F27" s="523"/>
      <c r="G27" s="523"/>
      <c r="H27" s="523"/>
    </row>
    <row r="28" spans="1:8" ht="15.75">
      <c r="A28" s="184" t="s">
        <v>264</v>
      </c>
      <c r="B28" s="184"/>
      <c r="C28" s="532"/>
      <c r="D28" s="533"/>
      <c r="E28" s="533"/>
      <c r="F28" s="521"/>
      <c r="G28" s="521"/>
      <c r="H28" s="521"/>
    </row>
    <row r="29" spans="1:8" ht="15.75" hidden="1">
      <c r="A29" s="102"/>
      <c r="B29" s="102" t="s">
        <v>265</v>
      </c>
      <c r="C29" s="27"/>
      <c r="D29" s="523"/>
      <c r="E29" s="523"/>
      <c r="F29" s="523"/>
      <c r="G29" s="523"/>
      <c r="H29" s="523"/>
    </row>
    <row r="30" spans="1:8" ht="15.75" hidden="1">
      <c r="A30" s="212"/>
      <c r="B30" s="102" t="s">
        <v>266</v>
      </c>
      <c r="C30" s="27"/>
      <c r="D30" s="523"/>
      <c r="E30" s="523"/>
      <c r="F30" s="523"/>
      <c r="G30" s="523"/>
      <c r="H30" s="523"/>
    </row>
    <row r="31" spans="1:8" ht="16.5" customHeight="1">
      <c r="A31" s="184" t="s">
        <v>267</v>
      </c>
      <c r="B31" s="184"/>
      <c r="C31" s="532"/>
      <c r="D31" s="533"/>
      <c r="E31" s="533"/>
      <c r="F31" s="185"/>
      <c r="G31" s="185"/>
      <c r="H31" s="185"/>
    </row>
    <row r="32" spans="1:8" ht="15.75" hidden="1">
      <c r="A32" s="102"/>
      <c r="B32" s="102" t="s">
        <v>268</v>
      </c>
      <c r="C32" s="27"/>
      <c r="D32" s="534"/>
      <c r="E32" s="534"/>
      <c r="F32" s="137"/>
      <c r="G32" s="137"/>
      <c r="H32" s="137"/>
    </row>
    <row r="33" spans="1:8" ht="15.75" hidden="1">
      <c r="A33" s="102"/>
      <c r="B33" s="102" t="s">
        <v>269</v>
      </c>
      <c r="C33" s="137"/>
      <c r="D33" s="523"/>
      <c r="E33" s="523"/>
      <c r="F33" s="523"/>
      <c r="G33" s="523"/>
      <c r="H33" s="523"/>
    </row>
    <row r="34" spans="1:8" ht="15.75" hidden="1">
      <c r="A34" s="176"/>
      <c r="B34" s="102" t="s">
        <v>270</v>
      </c>
      <c r="C34" s="27"/>
      <c r="D34" s="535"/>
      <c r="E34" s="535"/>
      <c r="F34" s="137"/>
      <c r="G34" s="137"/>
      <c r="H34" s="137"/>
    </row>
    <row r="35" spans="1:8" ht="18" customHeight="1">
      <c r="A35" s="184" t="s">
        <v>271</v>
      </c>
      <c r="B35" s="184"/>
      <c r="C35" s="532"/>
      <c r="D35" s="539"/>
      <c r="E35" s="539"/>
      <c r="F35" s="185"/>
      <c r="G35" s="185"/>
      <c r="H35" s="185"/>
    </row>
    <row r="36" spans="1:8" hidden="1">
      <c r="A36" s="1196"/>
      <c r="B36" s="1196" t="s">
        <v>272</v>
      </c>
      <c r="C36" s="1205"/>
      <c r="D36" s="523"/>
      <c r="E36" s="523"/>
      <c r="F36" s="523"/>
      <c r="G36" s="523"/>
      <c r="H36" s="1205"/>
    </row>
    <row r="37" spans="1:8" hidden="1">
      <c r="A37" s="1197"/>
      <c r="B37" s="1197"/>
      <c r="C37" s="1209"/>
      <c r="D37" s="523"/>
      <c r="E37" s="523"/>
      <c r="F37" s="137"/>
      <c r="G37" s="137"/>
      <c r="H37" s="1209"/>
    </row>
    <row r="38" spans="1:8" ht="15.75" hidden="1">
      <c r="A38" s="102"/>
      <c r="B38" s="1200" t="s">
        <v>273</v>
      </c>
      <c r="C38" s="335"/>
      <c r="D38" s="535"/>
      <c r="E38" s="523"/>
      <c r="F38" s="137"/>
      <c r="G38" s="137"/>
      <c r="H38" s="523"/>
    </row>
    <row r="39" spans="1:8" ht="15.75" hidden="1">
      <c r="A39" s="102"/>
      <c r="B39" s="1201"/>
      <c r="C39" s="520"/>
      <c r="D39" s="523"/>
      <c r="E39" s="523"/>
      <c r="F39" s="137"/>
      <c r="G39" s="137"/>
      <c r="H39" s="523"/>
    </row>
    <row r="40" spans="1:8" ht="15.75" hidden="1">
      <c r="A40" s="102"/>
      <c r="B40" s="102" t="s">
        <v>274</v>
      </c>
      <c r="C40" s="27"/>
      <c r="D40" s="534"/>
      <c r="E40" s="534"/>
      <c r="F40" s="137"/>
      <c r="G40" s="137"/>
      <c r="H40" s="137"/>
    </row>
    <row r="41" spans="1:8" ht="15.75" hidden="1">
      <c r="A41" s="102"/>
      <c r="B41" s="102" t="s">
        <v>275</v>
      </c>
      <c r="C41" s="27"/>
      <c r="D41" s="534"/>
      <c r="E41" s="534"/>
      <c r="F41" s="137"/>
      <c r="G41" s="137"/>
      <c r="H41" s="137"/>
    </row>
    <row r="42" spans="1:8" ht="15.75" hidden="1">
      <c r="A42" s="212"/>
      <c r="B42" s="102" t="s">
        <v>276</v>
      </c>
      <c r="C42" s="27"/>
      <c r="D42" s="534"/>
      <c r="E42" s="534"/>
      <c r="F42" s="137"/>
      <c r="G42" s="137"/>
      <c r="H42" s="137"/>
    </row>
    <row r="43" spans="1:8" ht="16.5" customHeight="1">
      <c r="A43" s="184" t="s">
        <v>277</v>
      </c>
      <c r="B43" s="184"/>
      <c r="C43" s="532"/>
      <c r="D43" s="533"/>
      <c r="E43" s="533"/>
      <c r="F43" s="185"/>
      <c r="G43" s="185"/>
      <c r="H43" s="185"/>
    </row>
    <row r="44" spans="1:8" ht="15.75" hidden="1">
      <c r="A44" s="102"/>
      <c r="B44" s="102" t="s">
        <v>278</v>
      </c>
      <c r="C44" s="27"/>
      <c r="D44" s="534"/>
      <c r="E44" s="534"/>
      <c r="F44" s="523"/>
      <c r="G44" s="523"/>
      <c r="H44" s="523"/>
    </row>
    <row r="45" spans="1:8" ht="15.75" hidden="1">
      <c r="A45" s="102"/>
      <c r="B45" s="102" t="s">
        <v>279</v>
      </c>
      <c r="C45" s="27"/>
      <c r="D45" s="534"/>
      <c r="E45" s="534"/>
      <c r="F45" s="523"/>
      <c r="G45" s="523"/>
      <c r="H45" s="523"/>
    </row>
    <row r="46" spans="1:8" ht="15.75" hidden="1">
      <c r="A46" s="102"/>
      <c r="B46" s="102" t="s">
        <v>280</v>
      </c>
      <c r="C46" s="27"/>
      <c r="D46" s="535"/>
      <c r="E46" s="535"/>
      <c r="F46" s="523"/>
      <c r="G46" s="523"/>
      <c r="H46" s="523"/>
    </row>
    <row r="47" spans="1:8" ht="15.75" hidden="1">
      <c r="A47" s="102"/>
      <c r="B47" s="102" t="s">
        <v>281</v>
      </c>
      <c r="C47" s="27"/>
      <c r="D47" s="535"/>
      <c r="E47" s="535"/>
      <c r="F47" s="27"/>
      <c r="G47" s="27"/>
      <c r="H47" s="27"/>
    </row>
    <row r="48" spans="1:8" ht="15.75" hidden="1">
      <c r="A48" s="212"/>
      <c r="B48" s="102" t="s">
        <v>282</v>
      </c>
      <c r="C48" s="27"/>
      <c r="D48" s="535"/>
      <c r="E48" s="535"/>
      <c r="F48" s="523"/>
      <c r="G48" s="523"/>
      <c r="H48" s="523"/>
    </row>
    <row r="49" spans="1:8" ht="14.25" customHeight="1">
      <c r="A49" s="184" t="s">
        <v>283</v>
      </c>
      <c r="B49" s="184"/>
      <c r="C49" s="532"/>
      <c r="D49" s="533"/>
      <c r="E49" s="533"/>
      <c r="F49" s="521"/>
      <c r="G49" s="521"/>
      <c r="H49" s="521"/>
    </row>
    <row r="50" spans="1:8" ht="15.75" hidden="1">
      <c r="A50" s="102"/>
      <c r="B50" s="1200" t="s">
        <v>284</v>
      </c>
      <c r="C50" s="137"/>
      <c r="D50" s="137"/>
      <c r="E50" s="137"/>
      <c r="F50" s="523"/>
      <c r="G50" s="523"/>
      <c r="H50" s="523"/>
    </row>
    <row r="51" spans="1:8" ht="15.75" hidden="1">
      <c r="A51" s="102"/>
      <c r="B51" s="1204"/>
      <c r="C51" s="1225"/>
      <c r="D51" s="536"/>
      <c r="E51" s="537"/>
      <c r="F51" s="536"/>
      <c r="G51" s="536"/>
      <c r="H51" s="1227"/>
    </row>
    <row r="52" spans="1:8" ht="15.75" hidden="1">
      <c r="A52" s="102"/>
      <c r="B52" s="1201"/>
      <c r="C52" s="1226"/>
      <c r="D52" s="536"/>
      <c r="E52" s="537"/>
      <c r="F52" s="536"/>
      <c r="G52" s="536"/>
      <c r="H52" s="1228"/>
    </row>
    <row r="53" spans="1:8" ht="15.75" hidden="1">
      <c r="A53" s="102"/>
      <c r="B53" s="102" t="s">
        <v>285</v>
      </c>
      <c r="C53" s="137"/>
      <c r="D53" s="523"/>
      <c r="E53" s="523"/>
      <c r="F53" s="523"/>
      <c r="G53" s="523"/>
      <c r="H53" s="523"/>
    </row>
    <row r="54" spans="1:8" ht="15.75" hidden="1">
      <c r="A54" s="102"/>
      <c r="B54" s="102" t="s">
        <v>286</v>
      </c>
      <c r="C54" s="27"/>
      <c r="D54" s="535"/>
      <c r="E54" s="535"/>
      <c r="F54" s="523"/>
      <c r="G54" s="523"/>
      <c r="H54" s="523"/>
    </row>
    <row r="55" spans="1:8" ht="15.75" hidden="1">
      <c r="A55" s="102"/>
      <c r="B55" s="102" t="s">
        <v>287</v>
      </c>
      <c r="C55" s="27"/>
      <c r="D55" s="535"/>
      <c r="E55" s="535"/>
      <c r="F55" s="523"/>
      <c r="G55" s="523"/>
      <c r="H55" s="523"/>
    </row>
    <row r="56" spans="1:8" ht="31.5" hidden="1">
      <c r="A56" s="176"/>
      <c r="B56" s="100" t="s">
        <v>298</v>
      </c>
      <c r="C56" s="27"/>
      <c r="D56" s="535"/>
      <c r="E56" s="535"/>
      <c r="F56" s="523"/>
      <c r="G56" s="523"/>
      <c r="H56" s="523"/>
    </row>
    <row r="57" spans="1:8" ht="17.25" customHeight="1">
      <c r="A57" s="184" t="s">
        <v>288</v>
      </c>
      <c r="B57" s="184"/>
      <c r="C57" s="532"/>
      <c r="D57" s="539"/>
      <c r="E57" s="539"/>
      <c r="F57" s="521"/>
      <c r="G57" s="521"/>
      <c r="H57" s="521"/>
    </row>
    <row r="58" spans="1:8" ht="15.75">
      <c r="A58" s="212"/>
      <c r="B58" s="1200" t="s">
        <v>289</v>
      </c>
      <c r="C58" s="27" t="s">
        <v>452</v>
      </c>
      <c r="D58" s="534"/>
      <c r="E58" s="534"/>
      <c r="F58" s="523"/>
      <c r="G58" s="523"/>
      <c r="H58" s="523"/>
    </row>
    <row r="59" spans="1:8" ht="15.75">
      <c r="A59" s="102"/>
      <c r="B59" s="1201"/>
      <c r="C59" s="523"/>
      <c r="D59" s="523"/>
      <c r="E59" s="523"/>
      <c r="F59" s="523"/>
      <c r="G59" s="523"/>
      <c r="H59" s="523"/>
    </row>
    <row r="60" spans="1:8" ht="15.75" hidden="1">
      <c r="A60" s="102"/>
      <c r="B60" s="102" t="s">
        <v>290</v>
      </c>
      <c r="C60" s="523"/>
      <c r="D60" s="523"/>
      <c r="E60" s="523"/>
      <c r="F60" s="523"/>
      <c r="G60" s="523"/>
      <c r="H60" s="523"/>
    </row>
    <row r="61" spans="1:8" ht="15.75" hidden="1">
      <c r="A61" s="176"/>
      <c r="B61" s="102" t="s">
        <v>291</v>
      </c>
      <c r="C61" s="27"/>
      <c r="D61" s="535"/>
      <c r="E61" s="535"/>
      <c r="F61" s="523"/>
      <c r="G61" s="523"/>
      <c r="H61" s="523"/>
    </row>
    <row r="62" spans="1:8" ht="17.25" customHeight="1">
      <c r="A62" s="184" t="s">
        <v>292</v>
      </c>
      <c r="B62" s="184"/>
      <c r="C62" s="532"/>
      <c r="D62" s="533"/>
      <c r="E62" s="533"/>
      <c r="F62" s="532"/>
      <c r="G62" s="532"/>
      <c r="H62" s="532"/>
    </row>
    <row r="63" spans="1:8" ht="15.75" hidden="1">
      <c r="A63" s="102"/>
      <c r="B63" s="102" t="s">
        <v>293</v>
      </c>
      <c r="C63" s="27"/>
      <c r="D63" s="535"/>
      <c r="E63" s="535"/>
      <c r="F63" s="27"/>
      <c r="G63" s="27"/>
      <c r="H63" s="27"/>
    </row>
    <row r="64" spans="1:8" ht="31.5" hidden="1">
      <c r="A64" s="102"/>
      <c r="B64" s="102" t="s">
        <v>294</v>
      </c>
      <c r="C64" s="27"/>
      <c r="D64" s="534"/>
      <c r="E64" s="534"/>
      <c r="F64" s="27"/>
      <c r="G64" s="27"/>
      <c r="H64" s="27"/>
    </row>
    <row r="65" spans="1:8" ht="15.75" hidden="1">
      <c r="A65" s="102"/>
      <c r="B65" s="102" t="s">
        <v>295</v>
      </c>
      <c r="C65" s="27"/>
      <c r="D65" s="534"/>
      <c r="E65" s="534"/>
      <c r="F65" s="27"/>
      <c r="G65" s="27"/>
      <c r="H65" s="27"/>
    </row>
    <row r="66" spans="1:8" ht="15.75" hidden="1">
      <c r="A66" s="209"/>
      <c r="B66" s="1200" t="s">
        <v>296</v>
      </c>
      <c r="C66" s="1210"/>
      <c r="D66" s="137"/>
      <c r="E66" s="137"/>
      <c r="F66" s="137"/>
      <c r="G66" s="137"/>
      <c r="H66" s="1205"/>
    </row>
    <row r="67" spans="1:8" ht="15.75" hidden="1">
      <c r="A67" s="209"/>
      <c r="B67" s="1204"/>
      <c r="C67" s="1211"/>
      <c r="D67" s="137"/>
      <c r="E67" s="137"/>
      <c r="F67" s="137"/>
      <c r="G67" s="137"/>
      <c r="H67" s="1209"/>
    </row>
    <row r="68" spans="1:8" hidden="1">
      <c r="A68" s="44"/>
      <c r="B68" s="1201"/>
      <c r="C68" s="523"/>
      <c r="D68" s="523"/>
      <c r="E68" s="523"/>
      <c r="F68" s="523"/>
      <c r="G68" s="523"/>
      <c r="H68" s="523"/>
    </row>
    <row r="69" spans="1:8" ht="15.75">
      <c r="A69" s="538"/>
      <c r="B69" s="350"/>
      <c r="C69" s="448"/>
      <c r="D69" s="540"/>
      <c r="E69" s="540"/>
      <c r="F69" s="448"/>
      <c r="G69" s="448"/>
      <c r="H69" s="448"/>
    </row>
  </sheetData>
  <mergeCells count="23">
    <mergeCell ref="B3:B8"/>
    <mergeCell ref="B18:B21"/>
    <mergeCell ref="C18:C21"/>
    <mergeCell ref="D18:D21"/>
    <mergeCell ref="H66:H67"/>
    <mergeCell ref="C3:C4"/>
    <mergeCell ref="D3:D4"/>
    <mergeCell ref="G3:G4"/>
    <mergeCell ref="H3:H4"/>
    <mergeCell ref="H18:H21"/>
    <mergeCell ref="C36:C37"/>
    <mergeCell ref="H36:H37"/>
    <mergeCell ref="C51:C52"/>
    <mergeCell ref="H51:H52"/>
    <mergeCell ref="G18:G21"/>
    <mergeCell ref="A18:A21"/>
    <mergeCell ref="B58:B59"/>
    <mergeCell ref="B66:B68"/>
    <mergeCell ref="C66:C67"/>
    <mergeCell ref="A36:A37"/>
    <mergeCell ref="B36:B37"/>
    <mergeCell ref="B38:B39"/>
    <mergeCell ref="B50:B52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K101"/>
  <sheetViews>
    <sheetView topLeftCell="A37" workbookViewId="0">
      <selection activeCell="A9" sqref="A9:XFD9"/>
    </sheetView>
  </sheetViews>
  <sheetFormatPr defaultRowHeight="16.5"/>
  <cols>
    <col min="1" max="1" width="18.5703125" style="106" customWidth="1"/>
    <col min="2" max="2" width="20" style="106" customWidth="1"/>
    <col min="3" max="3" width="7" style="693" customWidth="1"/>
    <col min="4" max="4" width="5.5703125" style="5" customWidth="1"/>
    <col min="5" max="5" width="5.28515625" style="5" customWidth="1"/>
    <col min="6" max="6" width="4.85546875" style="5" customWidth="1"/>
    <col min="7" max="7" width="10.140625" style="164" customWidth="1"/>
    <col min="8" max="8" width="8.7109375" style="23" customWidth="1"/>
    <col min="9" max="9" width="9.140625" style="23" customWidth="1"/>
    <col min="10" max="10" width="4.28515625" style="23" customWidth="1"/>
    <col min="11" max="11" width="7.140625" style="164" customWidth="1"/>
    <col min="12" max="12" width="11" style="5" customWidth="1"/>
    <col min="13" max="13" width="4.7109375" style="5" customWidth="1"/>
    <col min="14" max="14" width="9.5703125" style="5" customWidth="1"/>
    <col min="15" max="15" width="9.42578125" style="164" customWidth="1"/>
    <col min="16" max="16" width="10" style="23" customWidth="1"/>
    <col min="17" max="17" width="9" style="23" customWidth="1"/>
    <col min="18" max="18" width="9.28515625" style="23" customWidth="1"/>
    <col min="19" max="19" width="9.5703125" style="626" customWidth="1"/>
    <col min="20" max="20" width="11.140625" style="289" customWidth="1"/>
    <col min="21" max="21" width="10.140625" style="289" customWidth="1"/>
    <col min="22" max="22" width="7.5703125" style="289" customWidth="1"/>
    <col min="23" max="23" width="8.7109375" style="495" customWidth="1"/>
    <col min="24" max="24" width="8.42578125" style="290" customWidth="1"/>
    <col min="25" max="25" width="8.7109375" style="290" customWidth="1"/>
    <col min="26" max="26" width="8" style="290" customWidth="1"/>
    <col min="27" max="27" width="9.7109375" style="635" customWidth="1"/>
    <col min="28" max="28" width="12.7109375" style="289" customWidth="1"/>
    <col min="29" max="29" width="7.140625" style="290" customWidth="1"/>
    <col min="30" max="30" width="8.85546875" style="290" customWidth="1"/>
    <col min="31" max="31" width="11" style="518" customWidth="1"/>
    <col min="32" max="32" width="11.42578125" style="290" customWidth="1"/>
    <col min="33" max="33" width="16.5703125" style="5" customWidth="1"/>
    <col min="34" max="34" width="20" style="5" customWidth="1"/>
    <col min="35" max="16384" width="9.140625" style="5"/>
  </cols>
  <sheetData>
    <row r="1" spans="1:36" s="22" customFormat="1" ht="21" customHeight="1">
      <c r="A1" s="108"/>
      <c r="B1" s="108"/>
      <c r="C1" s="1237" t="s">
        <v>97</v>
      </c>
      <c r="D1" s="1238"/>
      <c r="E1" s="1238"/>
      <c r="F1" s="1239"/>
      <c r="G1" s="1237" t="s">
        <v>251</v>
      </c>
      <c r="H1" s="1252"/>
      <c r="I1" s="1252"/>
      <c r="J1" s="1246"/>
      <c r="K1" s="1240" t="s">
        <v>97</v>
      </c>
      <c r="L1" s="1241"/>
      <c r="M1" s="1241"/>
      <c r="N1" s="1242"/>
      <c r="O1" s="1230" t="s">
        <v>98</v>
      </c>
      <c r="P1" s="1231"/>
      <c r="Q1" s="1231"/>
      <c r="R1" s="1232"/>
      <c r="S1" s="1233" t="s">
        <v>252</v>
      </c>
      <c r="T1" s="1234"/>
      <c r="U1" s="1234"/>
      <c r="V1" s="1235"/>
      <c r="W1" s="1257" t="s">
        <v>99</v>
      </c>
      <c r="X1" s="1257"/>
      <c r="Y1" s="1257"/>
      <c r="Z1" s="1257"/>
      <c r="AA1" s="1258" t="s">
        <v>25</v>
      </c>
      <c r="AB1" s="1261" t="s">
        <v>100</v>
      </c>
      <c r="AC1" s="1254" t="s">
        <v>101</v>
      </c>
      <c r="AD1" s="1254"/>
      <c r="AE1" s="1254"/>
      <c r="AF1" s="1254"/>
    </row>
    <row r="2" spans="1:36" s="22" customFormat="1" ht="16.5" customHeight="1">
      <c r="A2" s="108"/>
      <c r="B2" s="108"/>
      <c r="C2" s="1243" t="s">
        <v>102</v>
      </c>
      <c r="D2" s="1247" t="s">
        <v>103</v>
      </c>
      <c r="E2" s="1248"/>
      <c r="F2" s="1249"/>
      <c r="G2" s="1244" t="s">
        <v>102</v>
      </c>
      <c r="H2" s="1237" t="s">
        <v>103</v>
      </c>
      <c r="I2" s="1238"/>
      <c r="J2" s="1246"/>
      <c r="K2" s="1244" t="s">
        <v>102</v>
      </c>
      <c r="L2" s="1237" t="s">
        <v>103</v>
      </c>
      <c r="M2" s="1238"/>
      <c r="N2" s="1251"/>
      <c r="O2" s="1237" t="s">
        <v>103</v>
      </c>
      <c r="P2" s="1252"/>
      <c r="Q2" s="1252"/>
      <c r="R2" s="1246"/>
      <c r="S2" s="1272" t="s">
        <v>102</v>
      </c>
      <c r="T2" s="1233" t="s">
        <v>103</v>
      </c>
      <c r="U2" s="1236"/>
      <c r="V2" s="1235"/>
      <c r="W2" s="1264" t="s">
        <v>102</v>
      </c>
      <c r="X2" s="1265" t="s">
        <v>103</v>
      </c>
      <c r="Y2" s="1265"/>
      <c r="Z2" s="1257"/>
      <c r="AA2" s="1259"/>
      <c r="AB2" s="1262"/>
      <c r="AC2" s="1255" t="s">
        <v>103</v>
      </c>
      <c r="AD2" s="1255"/>
      <c r="AE2" s="1253" t="s">
        <v>469</v>
      </c>
      <c r="AF2" s="1255" t="s">
        <v>229</v>
      </c>
    </row>
    <row r="3" spans="1:36" s="22" customFormat="1" ht="30" customHeight="1">
      <c r="A3" s="109" t="s">
        <v>0</v>
      </c>
      <c r="B3" s="109" t="s">
        <v>2</v>
      </c>
      <c r="C3" s="1243"/>
      <c r="D3" s="138" t="s">
        <v>104</v>
      </c>
      <c r="E3" s="138" t="s">
        <v>105</v>
      </c>
      <c r="F3" s="138" t="s">
        <v>108</v>
      </c>
      <c r="G3" s="1245"/>
      <c r="H3" s="138" t="s">
        <v>106</v>
      </c>
      <c r="I3" s="138" t="s">
        <v>107</v>
      </c>
      <c r="J3" s="138" t="s">
        <v>108</v>
      </c>
      <c r="K3" s="1250"/>
      <c r="L3" s="138" t="s">
        <v>109</v>
      </c>
      <c r="M3" s="138" t="s">
        <v>110</v>
      </c>
      <c r="N3" s="138" t="s">
        <v>111</v>
      </c>
      <c r="O3" s="627" t="s">
        <v>102</v>
      </c>
      <c r="P3" s="138" t="s">
        <v>109</v>
      </c>
      <c r="Q3" s="138" t="s">
        <v>110</v>
      </c>
      <c r="R3" s="138" t="s">
        <v>111</v>
      </c>
      <c r="S3" s="1272"/>
      <c r="T3" s="251" t="s">
        <v>112</v>
      </c>
      <c r="U3" s="251" t="s">
        <v>113</v>
      </c>
      <c r="V3" s="251" t="s">
        <v>114</v>
      </c>
      <c r="W3" s="1264"/>
      <c r="X3" s="251" t="s">
        <v>112</v>
      </c>
      <c r="Y3" s="251" t="s">
        <v>113</v>
      </c>
      <c r="Z3" s="251" t="s">
        <v>114</v>
      </c>
      <c r="AA3" s="1260"/>
      <c r="AB3" s="1263"/>
      <c r="AC3" s="249" t="s">
        <v>115</v>
      </c>
      <c r="AD3" s="249" t="s">
        <v>116</v>
      </c>
      <c r="AE3" s="1253"/>
      <c r="AF3" s="1256"/>
    </row>
    <row r="4" spans="1:36">
      <c r="A4" s="110">
        <v>1</v>
      </c>
      <c r="B4" s="110">
        <v>2</v>
      </c>
      <c r="C4" s="622">
        <v>3</v>
      </c>
      <c r="D4" s="110">
        <v>4</v>
      </c>
      <c r="E4" s="110">
        <v>5</v>
      </c>
      <c r="F4" s="110">
        <v>6</v>
      </c>
      <c r="G4" s="622">
        <v>7</v>
      </c>
      <c r="H4" s="110">
        <v>8</v>
      </c>
      <c r="I4" s="110">
        <v>9</v>
      </c>
      <c r="J4" s="110">
        <v>10</v>
      </c>
      <c r="K4" s="622">
        <v>11</v>
      </c>
      <c r="L4" s="110">
        <v>12</v>
      </c>
      <c r="M4" s="110">
        <v>13</v>
      </c>
      <c r="N4" s="110">
        <v>14</v>
      </c>
      <c r="O4" s="622">
        <v>15</v>
      </c>
      <c r="P4" s="110">
        <v>16</v>
      </c>
      <c r="Q4" s="110">
        <v>17</v>
      </c>
      <c r="R4" s="110">
        <v>18</v>
      </c>
      <c r="S4" s="630">
        <v>19</v>
      </c>
      <c r="T4" s="250">
        <v>20</v>
      </c>
      <c r="U4" s="250">
        <v>21</v>
      </c>
      <c r="V4" s="250">
        <v>22</v>
      </c>
      <c r="W4" s="491">
        <v>23</v>
      </c>
      <c r="X4" s="250">
        <v>24</v>
      </c>
      <c r="Y4" s="250">
        <v>25</v>
      </c>
      <c r="Z4" s="250">
        <v>26</v>
      </c>
      <c r="AA4" s="622">
        <v>27</v>
      </c>
      <c r="AB4" s="250">
        <v>28</v>
      </c>
      <c r="AC4" s="250">
        <v>29</v>
      </c>
      <c r="AD4" s="250">
        <v>30</v>
      </c>
      <c r="AE4" s="514">
        <v>31</v>
      </c>
      <c r="AF4" s="250">
        <v>32</v>
      </c>
    </row>
    <row r="5" spans="1:36" s="220" customFormat="1" ht="17.25" customHeight="1">
      <c r="A5" s="207" t="s">
        <v>302</v>
      </c>
      <c r="B5" s="207"/>
      <c r="C5" s="683"/>
      <c r="D5" s="218"/>
      <c r="E5" s="218"/>
      <c r="F5" s="218"/>
      <c r="G5" s="512">
        <v>159</v>
      </c>
      <c r="H5" s="159"/>
      <c r="I5" s="159"/>
      <c r="J5" s="159"/>
      <c r="K5" s="218"/>
      <c r="L5" s="218"/>
      <c r="M5" s="218"/>
      <c r="N5" s="218"/>
      <c r="O5" s="531">
        <f>P5+Q5+R5</f>
        <v>159</v>
      </c>
      <c r="P5" s="531">
        <f>P6</f>
        <v>153.4</v>
      </c>
      <c r="Q5" s="531">
        <f>Q6+Q7</f>
        <v>5.6</v>
      </c>
      <c r="R5" s="531">
        <f>R6+R7</f>
        <v>0</v>
      </c>
      <c r="S5" s="252">
        <f>T5+U5+V5</f>
        <v>159</v>
      </c>
      <c r="T5" s="253">
        <f>T6</f>
        <v>5.6</v>
      </c>
      <c r="U5" s="253">
        <f>U6</f>
        <v>153.4</v>
      </c>
      <c r="V5" s="253">
        <f>V6</f>
        <v>0</v>
      </c>
      <c r="W5" s="496"/>
      <c r="X5" s="254"/>
      <c r="Y5" s="254"/>
      <c r="Z5" s="254"/>
      <c r="AA5" s="580">
        <f>Численность!G3</f>
        <v>7885</v>
      </c>
      <c r="AB5" s="583">
        <f>S5*1000/AA5</f>
        <v>20.164870006341154</v>
      </c>
      <c r="AC5" s="255"/>
      <c r="AD5" s="255"/>
      <c r="AE5" s="505">
        <f>AE6</f>
        <v>131</v>
      </c>
      <c r="AF5" s="255"/>
      <c r="AG5" s="152"/>
      <c r="AH5" s="152"/>
      <c r="AI5" s="152"/>
      <c r="AJ5" s="152"/>
    </row>
    <row r="6" spans="1:36">
      <c r="A6" s="577"/>
      <c r="B6" s="577" t="s">
        <v>302</v>
      </c>
      <c r="C6" s="684"/>
      <c r="D6" s="7"/>
      <c r="E6" s="7"/>
      <c r="F6" s="7"/>
      <c r="G6" s="511">
        <v>159</v>
      </c>
      <c r="H6" s="142"/>
      <c r="I6" s="142"/>
      <c r="J6" s="142"/>
      <c r="K6" s="218"/>
      <c r="L6" s="143"/>
      <c r="M6" s="143"/>
      <c r="N6" s="143"/>
      <c r="O6" s="628">
        <f>P6+Q6+R6</f>
        <v>159</v>
      </c>
      <c r="P6" s="529">
        <v>153.4</v>
      </c>
      <c r="Q6" s="529">
        <v>5.6</v>
      </c>
      <c r="R6" s="530"/>
      <c r="S6" s="260">
        <f>T6+U6+V6</f>
        <v>159</v>
      </c>
      <c r="T6" s="256">
        <v>5.6</v>
      </c>
      <c r="U6" s="256">
        <v>153.4</v>
      </c>
      <c r="V6" s="256"/>
      <c r="W6" s="257"/>
      <c r="X6" s="257"/>
      <c r="Y6" s="257"/>
      <c r="Z6" s="257"/>
      <c r="AA6" s="590">
        <f>Численность!G4</f>
        <v>7885</v>
      </c>
      <c r="AB6" s="594">
        <f t="shared" ref="AB6:AB55" si="0">S6*1000/AA6</f>
        <v>20.164870006341154</v>
      </c>
      <c r="AC6" s="258"/>
      <c r="AD6" s="258"/>
      <c r="AE6" s="506">
        <v>131</v>
      </c>
      <c r="AF6" s="259"/>
    </row>
    <row r="7" spans="1:36" s="164" customFormat="1">
      <c r="A7" s="201" t="s">
        <v>299</v>
      </c>
      <c r="B7" s="201"/>
      <c r="C7" s="684"/>
      <c r="D7" s="222"/>
      <c r="E7" s="222"/>
      <c r="F7" s="222"/>
      <c r="G7" s="805">
        <f>G8+G9+G10+G11</f>
        <v>24.200000000000003</v>
      </c>
      <c r="H7" s="162"/>
      <c r="I7" s="162"/>
      <c r="J7" s="162"/>
      <c r="K7" s="155"/>
      <c r="L7" s="155"/>
      <c r="M7" s="155"/>
      <c r="N7" s="155"/>
      <c r="O7" s="805">
        <f>O8+O9+O10+O11</f>
        <v>24.200000000000003</v>
      </c>
      <c r="P7" s="147"/>
      <c r="Q7" s="149"/>
      <c r="R7" s="149"/>
      <c r="S7" s="806">
        <f>T7+U7+V7</f>
        <v>24.200000000000003</v>
      </c>
      <c r="T7" s="306">
        <v>21.1</v>
      </c>
      <c r="U7" s="601">
        <v>3.1</v>
      </c>
      <c r="V7" s="306">
        <f>V8</f>
        <v>0</v>
      </c>
      <c r="W7" s="497"/>
      <c r="X7" s="261"/>
      <c r="Y7" s="261"/>
      <c r="Z7" s="261"/>
      <c r="AA7" s="580">
        <f>Численность!G5</f>
        <v>1736</v>
      </c>
      <c r="AB7" s="583">
        <f t="shared" si="0"/>
        <v>13.940092165898619</v>
      </c>
      <c r="AC7" s="262"/>
      <c r="AD7" s="262"/>
      <c r="AE7" s="507"/>
      <c r="AF7" s="263"/>
      <c r="AG7" s="5"/>
      <c r="AH7" s="5"/>
      <c r="AI7" s="5"/>
      <c r="AJ7" s="5"/>
    </row>
    <row r="8" spans="1:36" s="152" customFormat="1">
      <c r="A8" s="171"/>
      <c r="B8" s="200" t="s">
        <v>299</v>
      </c>
      <c r="C8" s="683"/>
      <c r="D8" s="154"/>
      <c r="E8" s="154"/>
      <c r="F8" s="154"/>
      <c r="G8" s="805">
        <v>22.1</v>
      </c>
      <c r="H8" s="156"/>
      <c r="I8" s="156"/>
      <c r="J8" s="156"/>
      <c r="K8" s="218"/>
      <c r="L8" s="154"/>
      <c r="M8" s="154"/>
      <c r="N8" s="154"/>
      <c r="O8" s="805">
        <v>22.1</v>
      </c>
      <c r="P8" s="160"/>
      <c r="Q8" s="160"/>
      <c r="R8" s="160"/>
      <c r="S8" s="805">
        <v>22.1</v>
      </c>
      <c r="T8" s="541"/>
      <c r="U8" s="600"/>
      <c r="V8" s="543"/>
      <c r="W8" s="265"/>
      <c r="X8" s="265"/>
      <c r="Y8" s="265"/>
      <c r="Z8" s="265"/>
      <c r="AA8" s="590">
        <f>Численность!G6</f>
        <v>1583</v>
      </c>
      <c r="AB8" s="594">
        <f>S8*1000/AA8</f>
        <v>13.96083385975995</v>
      </c>
      <c r="AC8" s="266"/>
      <c r="AD8" s="266"/>
      <c r="AE8" s="508"/>
      <c r="AF8" s="266"/>
    </row>
    <row r="9" spans="1:36">
      <c r="A9" s="171"/>
      <c r="B9" s="200" t="s">
        <v>225</v>
      </c>
      <c r="C9" s="684"/>
      <c r="D9" s="7"/>
      <c r="E9" s="7"/>
      <c r="F9" s="7"/>
      <c r="G9" s="805">
        <v>0.53</v>
      </c>
      <c r="H9" s="146"/>
      <c r="I9" s="146"/>
      <c r="J9" s="146"/>
      <c r="K9" s="628"/>
      <c r="L9" s="143"/>
      <c r="M9" s="143"/>
      <c r="N9" s="143"/>
      <c r="O9" s="805">
        <v>0.53</v>
      </c>
      <c r="P9" s="144"/>
      <c r="Q9" s="145"/>
      <c r="R9" s="145"/>
      <c r="S9" s="805">
        <v>0.53</v>
      </c>
      <c r="T9" s="268"/>
      <c r="U9" s="268"/>
      <c r="V9" s="269"/>
      <c r="W9" s="268"/>
      <c r="X9" s="268"/>
      <c r="Y9" s="268"/>
      <c r="Z9" s="268"/>
      <c r="AA9" s="590">
        <f>Численность!G7</f>
        <v>21</v>
      </c>
      <c r="AB9" s="594">
        <f t="shared" si="0"/>
        <v>25.238095238095237</v>
      </c>
      <c r="AC9" s="270"/>
      <c r="AD9" s="270"/>
      <c r="AE9" s="2"/>
      <c r="AF9" s="270"/>
    </row>
    <row r="10" spans="1:36" s="152" customFormat="1">
      <c r="A10" s="171"/>
      <c r="B10" s="200" t="s">
        <v>301</v>
      </c>
      <c r="C10" s="683"/>
      <c r="D10" s="151"/>
      <c r="E10" s="151"/>
      <c r="F10" s="151"/>
      <c r="G10" s="805">
        <v>0.6</v>
      </c>
      <c r="H10" s="150"/>
      <c r="I10" s="150"/>
      <c r="J10" s="150"/>
      <c r="K10" s="218"/>
      <c r="L10" s="154"/>
      <c r="M10" s="154"/>
      <c r="N10" s="154"/>
      <c r="O10" s="805">
        <v>0.6</v>
      </c>
      <c r="P10" s="150"/>
      <c r="Q10" s="150"/>
      <c r="R10" s="150"/>
      <c r="S10" s="805">
        <v>0.6</v>
      </c>
      <c r="T10" s="264"/>
      <c r="U10" s="264"/>
      <c r="V10" s="264"/>
      <c r="W10" s="265"/>
      <c r="X10" s="265"/>
      <c r="Y10" s="265"/>
      <c r="Z10" s="265"/>
      <c r="AA10" s="590">
        <f>Численность!G8</f>
        <v>59</v>
      </c>
      <c r="AB10" s="594">
        <f t="shared" si="0"/>
        <v>10.169491525423728</v>
      </c>
      <c r="AC10" s="266"/>
      <c r="AD10" s="266"/>
      <c r="AE10" s="509"/>
      <c r="AF10" s="266"/>
    </row>
    <row r="11" spans="1:36">
      <c r="A11" s="215"/>
      <c r="B11" s="200" t="s">
        <v>300</v>
      </c>
      <c r="C11" s="684"/>
      <c r="D11" s="148"/>
      <c r="E11" s="128"/>
      <c r="F11" s="128"/>
      <c r="G11" s="805">
        <v>0.97</v>
      </c>
      <c r="H11" s="146"/>
      <c r="I11" s="146"/>
      <c r="J11" s="146"/>
      <c r="K11" s="155"/>
      <c r="L11" s="143"/>
      <c r="M11" s="143"/>
      <c r="N11" s="143"/>
      <c r="O11" s="805">
        <v>0.97</v>
      </c>
      <c r="P11" s="146"/>
      <c r="Q11" s="146"/>
      <c r="R11" s="146"/>
      <c r="S11" s="805">
        <v>0.97</v>
      </c>
      <c r="T11" s="268"/>
      <c r="U11" s="268"/>
      <c r="V11" s="269"/>
      <c r="W11" s="268"/>
      <c r="X11" s="268"/>
      <c r="Y11" s="268"/>
      <c r="Z11" s="268"/>
      <c r="AA11" s="590">
        <f>Численность!G9</f>
        <v>73</v>
      </c>
      <c r="AB11" s="594">
        <f t="shared" si="0"/>
        <v>13.287671232876713</v>
      </c>
      <c r="AC11" s="270"/>
      <c r="AD11" s="270"/>
      <c r="AE11" s="510"/>
      <c r="AF11" s="270"/>
    </row>
    <row r="12" spans="1:36" s="220" customFormat="1" ht="31.5">
      <c r="A12" s="188" t="s">
        <v>254</v>
      </c>
      <c r="B12" s="188"/>
      <c r="C12" s="685">
        <f>D12+E12+F12</f>
        <v>223</v>
      </c>
      <c r="D12" s="591">
        <f>D13+D14</f>
        <v>9</v>
      </c>
      <c r="E12" s="591">
        <f t="shared" ref="E12:F12" si="1">E13+E14</f>
        <v>214</v>
      </c>
      <c r="F12" s="591">
        <f t="shared" si="1"/>
        <v>0</v>
      </c>
      <c r="G12" s="671">
        <f>H12+I12+J12</f>
        <v>10.932</v>
      </c>
      <c r="H12" s="671">
        <f>H13+H14</f>
        <v>0.69199999999999995</v>
      </c>
      <c r="I12" s="671">
        <f t="shared" ref="I12:J12" si="2">I13+I14</f>
        <v>10.24</v>
      </c>
      <c r="J12" s="761">
        <f t="shared" si="2"/>
        <v>0</v>
      </c>
      <c r="K12" s="218">
        <f>L12+M12+N12</f>
        <v>223</v>
      </c>
      <c r="L12" s="218">
        <f>L13+L14</f>
        <v>223</v>
      </c>
      <c r="M12" s="218">
        <f t="shared" ref="M12:N12" si="3">M13+M14</f>
        <v>0</v>
      </c>
      <c r="N12" s="218">
        <f t="shared" si="3"/>
        <v>0</v>
      </c>
      <c r="O12" s="672">
        <f>P12+Q12+R12</f>
        <v>10.932</v>
      </c>
      <c r="P12" s="672">
        <f>P13+P14</f>
        <v>10.932</v>
      </c>
      <c r="Q12" s="675">
        <f t="shared" ref="Q12:R12" si="4">Q13+Q14</f>
        <v>0</v>
      </c>
      <c r="R12" s="675">
        <f t="shared" si="4"/>
        <v>0</v>
      </c>
      <c r="S12" s="641">
        <f>T12+U12+V12</f>
        <v>10.932000000000002</v>
      </c>
      <c r="T12" s="642">
        <f>T13+T14</f>
        <v>2.6320000000000006</v>
      </c>
      <c r="U12" s="642">
        <f>U13+U14</f>
        <v>8.3000000000000007</v>
      </c>
      <c r="V12" s="637">
        <f t="shared" ref="V12" si="5">V13+V14</f>
        <v>0</v>
      </c>
      <c r="W12" s="592"/>
      <c r="X12" s="593"/>
      <c r="Y12" s="593"/>
      <c r="Z12" s="593"/>
      <c r="AA12" s="580">
        <f>Численность!G10</f>
        <v>525</v>
      </c>
      <c r="AB12" s="583">
        <f>S12*1000/AA12</f>
        <v>20.822857142857146</v>
      </c>
      <c r="AC12" s="593"/>
      <c r="AD12" s="596">
        <f>AD13+AD14</f>
        <v>48</v>
      </c>
      <c r="AE12" s="596">
        <f>AE13+AE14</f>
        <v>693</v>
      </c>
      <c r="AF12" s="593"/>
      <c r="AG12" s="152"/>
      <c r="AH12" s="152"/>
      <c r="AI12" s="152"/>
      <c r="AJ12" s="152"/>
    </row>
    <row r="13" spans="1:36">
      <c r="B13" s="216" t="s">
        <v>255</v>
      </c>
      <c r="C13" s="684">
        <f>D13+E13+F13</f>
        <v>83</v>
      </c>
      <c r="D13" s="41">
        <v>7</v>
      </c>
      <c r="E13" s="128">
        <v>76</v>
      </c>
      <c r="F13" s="128"/>
      <c r="G13" s="709">
        <f>H13+I13+J13</f>
        <v>4.1260000000000003</v>
      </c>
      <c r="H13" s="710">
        <v>0.42799999999999999</v>
      </c>
      <c r="I13" s="710">
        <v>3.698</v>
      </c>
      <c r="J13" s="710"/>
      <c r="K13" s="155">
        <f>L13+M13+N13</f>
        <v>83</v>
      </c>
      <c r="L13" s="143">
        <v>83</v>
      </c>
      <c r="M13" s="143">
        <v>0</v>
      </c>
      <c r="N13" s="143">
        <v>0</v>
      </c>
      <c r="O13" s="673">
        <f>P13+Q13+R13</f>
        <v>4.1260000000000003</v>
      </c>
      <c r="P13" s="674">
        <v>4.1260000000000003</v>
      </c>
      <c r="Q13" s="674"/>
      <c r="R13" s="674"/>
      <c r="S13" s="643">
        <f t="shared" ref="S13:S14" si="6">T13+U13+V13</f>
        <v>4.1260000000000003</v>
      </c>
      <c r="T13" s="645">
        <f>4.126-U13</f>
        <v>1.3260000000000005</v>
      </c>
      <c r="U13" s="644">
        <v>2.8</v>
      </c>
      <c r="V13" s="639">
        <v>0</v>
      </c>
      <c r="W13" s="578"/>
      <c r="X13" s="578"/>
      <c r="Y13" s="578"/>
      <c r="Z13" s="578"/>
      <c r="AA13" s="590">
        <f>Численность!G11</f>
        <v>232</v>
      </c>
      <c r="AB13" s="594">
        <f>S13*1000/AA13</f>
        <v>17.78448275862069</v>
      </c>
      <c r="AC13" s="578"/>
      <c r="AD13" s="597">
        <v>20</v>
      </c>
      <c r="AE13" s="598">
        <v>611</v>
      </c>
      <c r="AF13" s="578"/>
    </row>
    <row r="14" spans="1:36">
      <c r="A14" s="595"/>
      <c r="B14" s="216" t="s">
        <v>256</v>
      </c>
      <c r="C14" s="684">
        <f>D14+E14+F14</f>
        <v>140</v>
      </c>
      <c r="D14" s="41">
        <v>2</v>
      </c>
      <c r="E14" s="128">
        <v>138</v>
      </c>
      <c r="F14" s="128"/>
      <c r="G14" s="709">
        <f>H14+I14+J14</f>
        <v>6.806</v>
      </c>
      <c r="H14" s="710">
        <v>0.26400000000000001</v>
      </c>
      <c r="I14" s="710">
        <v>6.5419999999999998</v>
      </c>
      <c r="J14" s="710"/>
      <c r="K14" s="155">
        <f>L14+M14+N14</f>
        <v>140</v>
      </c>
      <c r="L14" s="143">
        <v>140</v>
      </c>
      <c r="M14" s="143">
        <v>0</v>
      </c>
      <c r="N14" s="143">
        <v>0</v>
      </c>
      <c r="O14" s="673">
        <f>P14+Q14+R14</f>
        <v>6.806</v>
      </c>
      <c r="P14" s="674">
        <v>6.806</v>
      </c>
      <c r="Q14" s="674"/>
      <c r="R14" s="674"/>
      <c r="S14" s="643">
        <f t="shared" si="6"/>
        <v>6.806</v>
      </c>
      <c r="T14" s="644">
        <f>6.806-U14</f>
        <v>1.306</v>
      </c>
      <c r="U14" s="644">
        <v>5.5</v>
      </c>
      <c r="V14" s="638">
        <v>0</v>
      </c>
      <c r="W14" s="270"/>
      <c r="X14" s="270"/>
      <c r="Y14" s="270"/>
      <c r="Z14" s="270"/>
      <c r="AA14" s="590">
        <f>Численность!G12</f>
        <v>293</v>
      </c>
      <c r="AB14" s="594">
        <f t="shared" si="0"/>
        <v>23.228668941979521</v>
      </c>
      <c r="AC14" s="275"/>
      <c r="AD14" s="599">
        <v>28</v>
      </c>
      <c r="AE14" s="589">
        <v>82</v>
      </c>
      <c r="AF14" s="275"/>
    </row>
    <row r="15" spans="1:36" s="164" customFormat="1" ht="31.5">
      <c r="A15" s="188" t="s">
        <v>257</v>
      </c>
      <c r="B15" s="188"/>
      <c r="C15" s="684"/>
      <c r="D15" s="224"/>
      <c r="E15" s="221"/>
      <c r="F15" s="221"/>
      <c r="G15" s="676">
        <v>20.349</v>
      </c>
      <c r="H15" s="676"/>
      <c r="I15" s="676"/>
      <c r="J15" s="676"/>
      <c r="K15" s="677"/>
      <c r="L15" s="677"/>
      <c r="M15" s="677"/>
      <c r="N15" s="677"/>
      <c r="O15" s="676">
        <v>20.349</v>
      </c>
      <c r="P15" s="246"/>
      <c r="Q15" s="246"/>
      <c r="R15" s="246"/>
      <c r="S15" s="550">
        <f>T15+U15+V15</f>
        <v>20.349</v>
      </c>
      <c r="T15" s="545">
        <f>T16+T17+T18</f>
        <v>0.16599999999999998</v>
      </c>
      <c r="U15" s="545">
        <f>U16+U17+U18</f>
        <v>20.183</v>
      </c>
      <c r="V15" s="548">
        <f>V16+V17+V18</f>
        <v>0</v>
      </c>
      <c r="W15" s="493"/>
      <c r="X15" s="260"/>
      <c r="Y15" s="260"/>
      <c r="Z15" s="260"/>
      <c r="AA15" s="580">
        <f>Численность!G13</f>
        <v>1107</v>
      </c>
      <c r="AB15" s="583">
        <f t="shared" si="0"/>
        <v>18.382113821138212</v>
      </c>
      <c r="AC15" s="276"/>
      <c r="AD15" s="276"/>
      <c r="AE15" s="550">
        <f>AE16+AE17+AE18</f>
        <v>10.904</v>
      </c>
      <c r="AF15" s="550">
        <f>AF16+AF17+AF18</f>
        <v>3.9409999999999998</v>
      </c>
      <c r="AG15" s="5"/>
      <c r="AH15" s="5"/>
      <c r="AI15" s="5"/>
      <c r="AJ15" s="5"/>
    </row>
    <row r="16" spans="1:36">
      <c r="A16" s="216"/>
      <c r="B16" s="216" t="s">
        <v>258</v>
      </c>
      <c r="C16" s="684"/>
      <c r="D16" s="148"/>
      <c r="E16" s="128"/>
      <c r="F16" s="128"/>
      <c r="G16" s="678">
        <v>15.696999999999999</v>
      </c>
      <c r="H16" s="679"/>
      <c r="I16" s="679"/>
      <c r="J16" s="679"/>
      <c r="K16" s="649"/>
      <c r="L16" s="549"/>
      <c r="M16" s="762">
        <v>1</v>
      </c>
      <c r="N16" s="549"/>
      <c r="O16" s="678">
        <v>15.696999999999999</v>
      </c>
      <c r="P16" s="146"/>
      <c r="Q16" s="146">
        <v>210</v>
      </c>
      <c r="R16" s="146"/>
      <c r="S16" s="631">
        <f>T16+U16+V16</f>
        <v>15.696999999999999</v>
      </c>
      <c r="T16" s="546">
        <v>0.12</v>
      </c>
      <c r="U16" s="549">
        <v>15.577</v>
      </c>
      <c r="V16" s="547">
        <v>0</v>
      </c>
      <c r="W16" s="256"/>
      <c r="X16" s="256"/>
      <c r="Y16" s="256"/>
      <c r="Z16" s="256"/>
      <c r="AA16" s="590">
        <f>Численность!G14</f>
        <v>701</v>
      </c>
      <c r="AB16" s="594">
        <f t="shared" si="0"/>
        <v>22.392296718972897</v>
      </c>
      <c r="AC16" s="275"/>
      <c r="AD16" s="275"/>
      <c r="AE16" s="552">
        <v>10.904</v>
      </c>
      <c r="AF16" s="551"/>
    </row>
    <row r="17" spans="1:36" s="152" customFormat="1">
      <c r="A17" s="216"/>
      <c r="B17" s="216" t="s">
        <v>259</v>
      </c>
      <c r="C17" s="685"/>
      <c r="D17" s="17"/>
      <c r="E17" s="17"/>
      <c r="F17" s="17"/>
      <c r="G17" s="678">
        <v>1.2809999999999999</v>
      </c>
      <c r="H17" s="679"/>
      <c r="I17" s="679"/>
      <c r="J17" s="679"/>
      <c r="K17" s="678"/>
      <c r="L17" s="679"/>
      <c r="M17" s="679"/>
      <c r="N17" s="679"/>
      <c r="O17" s="678">
        <v>1.2809999999999999</v>
      </c>
      <c r="P17" s="217"/>
      <c r="Q17" s="217"/>
      <c r="R17" s="217"/>
      <c r="S17" s="631">
        <f t="shared" ref="S17:S18" si="7">T17+U17+V17</f>
        <v>1.2809999999999999</v>
      </c>
      <c r="T17" s="547">
        <v>0</v>
      </c>
      <c r="U17" s="549">
        <v>1.2809999999999999</v>
      </c>
      <c r="V17" s="547">
        <v>0</v>
      </c>
      <c r="W17" s="277"/>
      <c r="X17" s="277"/>
      <c r="Y17" s="277"/>
      <c r="Z17" s="277"/>
      <c r="AA17" s="590">
        <f>Численность!G15</f>
        <v>87</v>
      </c>
      <c r="AB17" s="594">
        <f t="shared" si="0"/>
        <v>14.724137931034482</v>
      </c>
      <c r="AC17" s="278"/>
      <c r="AD17" s="278"/>
      <c r="AE17" s="551"/>
      <c r="AF17" s="551">
        <v>1.2809999999999999</v>
      </c>
    </row>
    <row r="18" spans="1:36">
      <c r="A18" s="215"/>
      <c r="B18" s="216" t="s">
        <v>260</v>
      </c>
      <c r="C18" s="684"/>
      <c r="D18" s="7"/>
      <c r="E18" s="7"/>
      <c r="F18" s="7"/>
      <c r="G18" s="678">
        <v>3.371</v>
      </c>
      <c r="H18" s="679"/>
      <c r="I18" s="679"/>
      <c r="J18" s="679"/>
      <c r="K18" s="678"/>
      <c r="L18" s="679"/>
      <c r="M18" s="679"/>
      <c r="N18" s="679"/>
      <c r="O18" s="678">
        <v>3.371</v>
      </c>
      <c r="P18" s="144"/>
      <c r="Q18" s="144"/>
      <c r="R18" s="144"/>
      <c r="S18" s="631">
        <f t="shared" si="7"/>
        <v>3.371</v>
      </c>
      <c r="T18" s="546">
        <v>4.5999999999999999E-2</v>
      </c>
      <c r="U18" s="549">
        <v>3.3250000000000002</v>
      </c>
      <c r="V18" s="547">
        <v>0</v>
      </c>
      <c r="W18" s="256"/>
      <c r="X18" s="256"/>
      <c r="Y18" s="256"/>
      <c r="Z18" s="256"/>
      <c r="AA18" s="590">
        <f>Численность!G16</f>
        <v>319</v>
      </c>
      <c r="AB18" s="594">
        <f t="shared" si="0"/>
        <v>10.567398119122258</v>
      </c>
      <c r="AC18" s="275"/>
      <c r="AD18" s="275"/>
      <c r="AE18" s="551"/>
      <c r="AF18" s="551">
        <v>2.66</v>
      </c>
    </row>
    <row r="19" spans="1:36" s="220" customFormat="1" ht="31.5">
      <c r="A19" s="188" t="s">
        <v>261</v>
      </c>
      <c r="B19" s="188"/>
      <c r="C19" s="685"/>
      <c r="D19" s="247"/>
      <c r="E19" s="247"/>
      <c r="F19" s="247"/>
      <c r="G19" s="623">
        <v>20.170000000000002</v>
      </c>
      <c r="H19" s="246"/>
      <c r="I19" s="246"/>
      <c r="J19" s="246"/>
      <c r="K19" s="245"/>
      <c r="L19" s="245"/>
      <c r="M19" s="245"/>
      <c r="N19" s="245"/>
      <c r="O19" s="629">
        <v>20.170000000000002</v>
      </c>
      <c r="P19" s="246"/>
      <c r="Q19" s="246"/>
      <c r="R19" s="246"/>
      <c r="S19" s="279">
        <f>S20+S21</f>
        <v>20.169999999999998</v>
      </c>
      <c r="T19" s="279">
        <f>T20+T21</f>
        <v>0.98</v>
      </c>
      <c r="U19" s="279">
        <f>U20+U21</f>
        <v>17.600000000000001</v>
      </c>
      <c r="V19" s="279">
        <f>V20+V21</f>
        <v>1.59</v>
      </c>
      <c r="W19" s="500"/>
      <c r="X19" s="280"/>
      <c r="Y19" s="280"/>
      <c r="Z19" s="280"/>
      <c r="AA19" s="580">
        <f>Численность!G17</f>
        <v>782</v>
      </c>
      <c r="AB19" s="583">
        <f t="shared" si="0"/>
        <v>25.792838874680303</v>
      </c>
      <c r="AC19" s="281"/>
      <c r="AD19" s="281"/>
      <c r="AE19" s="279">
        <f>AE20+AE21</f>
        <v>6.2799999999999994</v>
      </c>
      <c r="AF19" s="279">
        <f>AF20+AF21</f>
        <v>0.14000000000000001</v>
      </c>
      <c r="AG19" s="152"/>
      <c r="AH19" s="152"/>
      <c r="AI19" s="152"/>
      <c r="AJ19" s="152"/>
    </row>
    <row r="20" spans="1:36" s="152" customFormat="1">
      <c r="A20" s="216"/>
      <c r="B20" s="216" t="s">
        <v>262</v>
      </c>
      <c r="C20" s="686"/>
      <c r="D20" s="151"/>
      <c r="E20" s="151"/>
      <c r="F20" s="151"/>
      <c r="G20" s="647">
        <v>12.36</v>
      </c>
      <c r="H20" s="146"/>
      <c r="I20" s="146"/>
      <c r="J20" s="146"/>
      <c r="K20" s="245"/>
      <c r="L20" s="154"/>
      <c r="M20" s="154"/>
      <c r="N20" s="154"/>
      <c r="O20" s="647">
        <v>12.36</v>
      </c>
      <c r="P20" s="146"/>
      <c r="Q20" s="146"/>
      <c r="R20" s="146"/>
      <c r="S20" s="273">
        <v>12.36</v>
      </c>
      <c r="T20" s="272">
        <v>0.72</v>
      </c>
      <c r="U20" s="272">
        <v>10.52</v>
      </c>
      <c r="V20" s="473">
        <v>1.1200000000000001</v>
      </c>
      <c r="W20" s="282"/>
      <c r="X20" s="282"/>
      <c r="Y20" s="282"/>
      <c r="Z20" s="282"/>
      <c r="AA20" s="590">
        <f>Численность!G18</f>
        <v>606</v>
      </c>
      <c r="AB20" s="594">
        <f t="shared" si="0"/>
        <v>20.396039603960396</v>
      </c>
      <c r="AC20" s="284"/>
      <c r="AD20" s="284"/>
      <c r="AE20" s="272">
        <v>3.98</v>
      </c>
      <c r="AF20" s="272">
        <v>0.08</v>
      </c>
    </row>
    <row r="21" spans="1:36" s="152" customFormat="1">
      <c r="A21" s="215"/>
      <c r="B21" s="216" t="s">
        <v>263</v>
      </c>
      <c r="C21" s="683"/>
      <c r="D21" s="151"/>
      <c r="E21" s="151"/>
      <c r="F21" s="151"/>
      <c r="G21" s="647">
        <v>7.81</v>
      </c>
      <c r="H21" s="150"/>
      <c r="I21" s="150"/>
      <c r="J21" s="150"/>
      <c r="K21" s="245"/>
      <c r="L21" s="151"/>
      <c r="M21" s="151"/>
      <c r="N21" s="151"/>
      <c r="O21" s="647">
        <v>7.81</v>
      </c>
      <c r="P21" s="160"/>
      <c r="Q21" s="154"/>
      <c r="R21" s="154"/>
      <c r="S21" s="632">
        <v>7.81</v>
      </c>
      <c r="T21" s="474">
        <v>0.26</v>
      </c>
      <c r="U21" s="472">
        <v>7.08</v>
      </c>
      <c r="V21" s="472">
        <v>0.47</v>
      </c>
      <c r="W21" s="282"/>
      <c r="X21" s="282"/>
      <c r="Y21" s="282"/>
      <c r="Z21" s="282"/>
      <c r="AA21" s="590">
        <f>Численность!G19</f>
        <v>176</v>
      </c>
      <c r="AB21" s="594">
        <f t="shared" si="0"/>
        <v>44.375</v>
      </c>
      <c r="AC21" s="278"/>
      <c r="AD21" s="278"/>
      <c r="AE21" s="272">
        <v>2.2999999999999998</v>
      </c>
      <c r="AF21" s="272">
        <v>0.06</v>
      </c>
    </row>
    <row r="22" spans="1:36" s="164" customFormat="1" ht="31.5">
      <c r="A22" s="188" t="s">
        <v>264</v>
      </c>
      <c r="B22" s="188"/>
      <c r="C22" s="548">
        <f>C23+C24</f>
        <v>180</v>
      </c>
      <c r="D22" s="735">
        <f>D23+D24</f>
        <v>82</v>
      </c>
      <c r="E22" s="735">
        <f t="shared" ref="E22:F22" si="8">E23+E24</f>
        <v>98</v>
      </c>
      <c r="F22" s="218">
        <f t="shared" si="8"/>
        <v>0</v>
      </c>
      <c r="G22" s="677">
        <f>H22+I22+J22</f>
        <v>5.8079999999999998</v>
      </c>
      <c r="H22" s="677">
        <f>H23+H24</f>
        <v>2.8679999999999999</v>
      </c>
      <c r="I22" s="677">
        <f t="shared" ref="I22:J22" si="9">I23+I24</f>
        <v>2.94</v>
      </c>
      <c r="J22" s="641">
        <f t="shared" si="9"/>
        <v>0</v>
      </c>
      <c r="K22" s="735">
        <f>L22+M22+N22</f>
        <v>180</v>
      </c>
      <c r="L22" s="735">
        <f>L23+L24</f>
        <v>174</v>
      </c>
      <c r="M22" s="735">
        <f t="shared" ref="M22:N22" si="10">M23+M24</f>
        <v>6</v>
      </c>
      <c r="N22" s="737">
        <f t="shared" si="10"/>
        <v>0</v>
      </c>
      <c r="O22" s="677">
        <f>P22+Q22+R22</f>
        <v>5.8080000000000007</v>
      </c>
      <c r="P22" s="677">
        <f>P23+P24</f>
        <v>5.2200000000000006</v>
      </c>
      <c r="Q22" s="677">
        <f t="shared" ref="Q22:R22" si="11">Q23+Q24</f>
        <v>0.58799999999999997</v>
      </c>
      <c r="R22" s="677">
        <f t="shared" si="11"/>
        <v>0</v>
      </c>
      <c r="S22" s="550">
        <f>T22+U22+V22</f>
        <v>5.8079999999999998</v>
      </c>
      <c r="T22" s="602">
        <f>T23+T24</f>
        <v>0.18</v>
      </c>
      <c r="U22" s="602">
        <f>U23+U24</f>
        <v>5.6280000000000001</v>
      </c>
      <c r="V22" s="602">
        <f>V23+V24</f>
        <v>0</v>
      </c>
      <c r="W22" s="501"/>
      <c r="X22" s="286"/>
      <c r="Y22" s="286"/>
      <c r="Z22" s="286"/>
      <c r="AA22" s="580">
        <f>Численность!G20</f>
        <v>480</v>
      </c>
      <c r="AB22" s="583">
        <f t="shared" si="0"/>
        <v>12.1</v>
      </c>
      <c r="AC22" s="276"/>
      <c r="AD22" s="276"/>
      <c r="AE22" s="511"/>
      <c r="AF22" s="273"/>
      <c r="AG22" s="5"/>
      <c r="AH22" s="5"/>
      <c r="AI22" s="5"/>
      <c r="AJ22" s="5"/>
    </row>
    <row r="23" spans="1:36">
      <c r="A23" s="216"/>
      <c r="B23" s="216" t="s">
        <v>265</v>
      </c>
      <c r="C23" s="736">
        <f>D23+E23+F23</f>
        <v>137</v>
      </c>
      <c r="D23" s="530">
        <v>82</v>
      </c>
      <c r="E23" s="530">
        <v>55</v>
      </c>
      <c r="F23" s="145"/>
      <c r="G23" s="649">
        <f t="shared" ref="G23:G24" si="12">H23+I23+J23</f>
        <v>4.5179999999999998</v>
      </c>
      <c r="H23" s="679">
        <v>2.8679999999999999</v>
      </c>
      <c r="I23" s="679">
        <v>1.65</v>
      </c>
      <c r="J23" s="640"/>
      <c r="K23" s="738">
        <f>L23+M23+N23</f>
        <v>137</v>
      </c>
      <c r="L23" s="271">
        <v>131</v>
      </c>
      <c r="M23" s="271">
        <v>6</v>
      </c>
      <c r="N23" s="271">
        <v>0</v>
      </c>
      <c r="O23" s="649">
        <f>P23+Q23+R23</f>
        <v>4.5179999999999998</v>
      </c>
      <c r="P23" s="549">
        <v>3.93</v>
      </c>
      <c r="Q23" s="549">
        <v>0.58799999999999997</v>
      </c>
      <c r="R23" s="549">
        <v>0</v>
      </c>
      <c r="S23" s="631">
        <v>4.5179999999999998</v>
      </c>
      <c r="T23" s="603">
        <v>0.18</v>
      </c>
      <c r="U23" s="603">
        <f>S23-T23</f>
        <v>4.3380000000000001</v>
      </c>
      <c r="V23" s="603"/>
      <c r="W23" s="269"/>
      <c r="X23" s="269"/>
      <c r="Y23" s="269"/>
      <c r="Z23" s="269"/>
      <c r="AA23" s="590">
        <f>Численность!G21</f>
        <v>377</v>
      </c>
      <c r="AB23" s="594">
        <f t="shared" si="0"/>
        <v>11.984084880636605</v>
      </c>
      <c r="AC23" s="275"/>
      <c r="AD23" s="275"/>
      <c r="AE23" s="510"/>
      <c r="AF23" s="272"/>
    </row>
    <row r="24" spans="1:36">
      <c r="A24" s="215"/>
      <c r="B24" s="216" t="s">
        <v>266</v>
      </c>
      <c r="C24" s="736">
        <f>D24+E24+F24</f>
        <v>43</v>
      </c>
      <c r="D24" s="530"/>
      <c r="E24" s="530">
        <v>43</v>
      </c>
      <c r="F24" s="145"/>
      <c r="G24" s="649">
        <f t="shared" si="12"/>
        <v>1.29</v>
      </c>
      <c r="H24" s="640">
        <v>0</v>
      </c>
      <c r="I24" s="679">
        <v>1.29</v>
      </c>
      <c r="J24" s="640"/>
      <c r="K24" s="738">
        <f>L24+M24+N24</f>
        <v>43</v>
      </c>
      <c r="L24" s="271">
        <v>43</v>
      </c>
      <c r="M24" s="271">
        <v>0</v>
      </c>
      <c r="N24" s="271">
        <v>0</v>
      </c>
      <c r="O24" s="649">
        <f>P24+Q24+R24</f>
        <v>1.29</v>
      </c>
      <c r="P24" s="549">
        <v>1.29</v>
      </c>
      <c r="Q24" s="549">
        <v>0</v>
      </c>
      <c r="R24" s="549">
        <v>0</v>
      </c>
      <c r="S24" s="631">
        <v>1.29</v>
      </c>
      <c r="T24" s="603">
        <v>0</v>
      </c>
      <c r="U24" s="603">
        <v>1.29</v>
      </c>
      <c r="V24" s="603"/>
      <c r="W24" s="269"/>
      <c r="X24" s="269"/>
      <c r="Y24" s="269"/>
      <c r="Z24" s="269"/>
      <c r="AA24" s="590">
        <f>Численность!G22</f>
        <v>103</v>
      </c>
      <c r="AB24" s="594">
        <f t="shared" si="0"/>
        <v>12.524271844660195</v>
      </c>
      <c r="AC24" s="275"/>
      <c r="AD24" s="275">
        <v>2</v>
      </c>
      <c r="AE24" s="510">
        <v>0.2</v>
      </c>
      <c r="AF24" s="272"/>
    </row>
    <row r="25" spans="1:36" s="220" customFormat="1" ht="31.5">
      <c r="A25" s="188" t="s">
        <v>267</v>
      </c>
      <c r="B25" s="188"/>
      <c r="C25" s="683">
        <f>D25+E25+F25</f>
        <v>278</v>
      </c>
      <c r="D25" s="218">
        <f>D26+D27+D28</f>
        <v>8</v>
      </c>
      <c r="E25" s="218">
        <f t="shared" ref="E25:F25" si="13">E26+E27+E28</f>
        <v>270</v>
      </c>
      <c r="F25" s="218">
        <f t="shared" si="13"/>
        <v>0</v>
      </c>
      <c r="G25" s="641">
        <f>H25+I25+J25</f>
        <v>11.657</v>
      </c>
      <c r="H25" s="641">
        <f>H26+H27+H28</f>
        <v>0.30099999999999999</v>
      </c>
      <c r="I25" s="641">
        <f t="shared" ref="I25:J25" si="14">I26+I27+I28</f>
        <v>11.356</v>
      </c>
      <c r="J25" s="641">
        <f t="shared" si="14"/>
        <v>0</v>
      </c>
      <c r="K25" s="700">
        <f>L25+M25+N25</f>
        <v>278</v>
      </c>
      <c r="L25" s="700">
        <f>L26+L27+L28</f>
        <v>278</v>
      </c>
      <c r="M25" s="700">
        <f t="shared" ref="M25:N25" si="15">M26+M27+M28</f>
        <v>0</v>
      </c>
      <c r="N25" s="700">
        <f t="shared" si="15"/>
        <v>0</v>
      </c>
      <c r="O25" s="641">
        <f>P25+Q25+R25</f>
        <v>11.657</v>
      </c>
      <c r="P25" s="641">
        <f>P26+P27+P28</f>
        <v>11.657</v>
      </c>
      <c r="Q25" s="641">
        <f t="shared" ref="Q25" si="16">Q26+Q27+Q28</f>
        <v>0</v>
      </c>
      <c r="R25" s="641"/>
      <c r="S25" s="550">
        <f>S26+S27+S28</f>
        <v>11.66</v>
      </c>
      <c r="T25" s="550">
        <f>T26+T27+T28</f>
        <v>0.93000000000000016</v>
      </c>
      <c r="U25" s="550">
        <f>U26+U27+U28</f>
        <v>10.73</v>
      </c>
      <c r="V25" s="648"/>
      <c r="W25" s="492"/>
      <c r="X25" s="252"/>
      <c r="Y25" s="252"/>
      <c r="Z25" s="252"/>
      <c r="AA25" s="580">
        <f>Численность!G23</f>
        <v>551</v>
      </c>
      <c r="AB25" s="583">
        <f t="shared" si="0"/>
        <v>21.16152450090744</v>
      </c>
      <c r="AC25" s="281"/>
      <c r="AD25" s="281"/>
      <c r="AE25" s="512">
        <f>AE26+AE27+AE28</f>
        <v>11.66</v>
      </c>
      <c r="AF25" s="279"/>
      <c r="AG25" s="152"/>
      <c r="AH25" s="152"/>
      <c r="AI25" s="152"/>
      <c r="AJ25" s="152"/>
    </row>
    <row r="26" spans="1:36" s="152" customFormat="1">
      <c r="A26" s="216"/>
      <c r="B26" s="216" t="s">
        <v>268</v>
      </c>
      <c r="C26" s="686">
        <f>D26+E26+F26</f>
        <v>169</v>
      </c>
      <c r="D26" s="587">
        <v>8</v>
      </c>
      <c r="E26" s="587">
        <v>161</v>
      </c>
      <c r="F26" s="587"/>
      <c r="G26" s="681">
        <f>H26+I26+J26</f>
        <v>6.97</v>
      </c>
      <c r="H26" s="644">
        <v>0.30099999999999999</v>
      </c>
      <c r="I26" s="644">
        <v>6.6689999999999996</v>
      </c>
      <c r="J26" s="644"/>
      <c r="K26" s="702">
        <f t="shared" ref="K26:K28" si="17">L26+M26+N26</f>
        <v>169</v>
      </c>
      <c r="L26" s="701">
        <v>169</v>
      </c>
      <c r="M26" s="701"/>
      <c r="N26" s="701"/>
      <c r="O26" s="643">
        <f>P26+Q26+R26</f>
        <v>6.97</v>
      </c>
      <c r="P26" s="644">
        <v>6.97</v>
      </c>
      <c r="Q26" s="644"/>
      <c r="R26" s="644"/>
      <c r="S26" s="649">
        <v>6.97</v>
      </c>
      <c r="T26" s="650">
        <v>0.8</v>
      </c>
      <c r="U26" s="650">
        <v>6.17</v>
      </c>
      <c r="V26" s="651"/>
      <c r="W26" s="266"/>
      <c r="X26" s="266"/>
      <c r="Y26" s="266"/>
      <c r="Z26" s="266"/>
      <c r="AA26" s="590">
        <f>Численность!G24</f>
        <v>402</v>
      </c>
      <c r="AB26" s="594">
        <f t="shared" si="0"/>
        <v>17.338308457711442</v>
      </c>
      <c r="AC26" s="277"/>
      <c r="AD26" s="277"/>
      <c r="AE26" s="555">
        <v>6.97</v>
      </c>
      <c r="AF26" s="555"/>
    </row>
    <row r="27" spans="1:36" s="152" customFormat="1">
      <c r="A27" s="216"/>
      <c r="B27" s="216" t="s">
        <v>269</v>
      </c>
      <c r="C27" s="686">
        <v>52</v>
      </c>
      <c r="D27" s="143"/>
      <c r="E27" s="143">
        <v>52</v>
      </c>
      <c r="F27" s="143"/>
      <c r="G27" s="681">
        <f t="shared" ref="G27:G28" si="18">H27+I27+J27</f>
        <v>2.2360000000000002</v>
      </c>
      <c r="H27" s="644"/>
      <c r="I27" s="644">
        <v>2.2360000000000002</v>
      </c>
      <c r="J27" s="644"/>
      <c r="K27" s="702">
        <f t="shared" si="17"/>
        <v>52</v>
      </c>
      <c r="L27" s="701">
        <v>52</v>
      </c>
      <c r="M27" s="701"/>
      <c r="N27" s="701"/>
      <c r="O27" s="643">
        <f t="shared" ref="O27:O28" si="19">P27+Q27+R27</f>
        <v>2.2360000000000002</v>
      </c>
      <c r="P27" s="640">
        <v>2.2360000000000002</v>
      </c>
      <c r="Q27" s="640"/>
      <c r="R27" s="644"/>
      <c r="S27" s="649">
        <v>2.2400000000000002</v>
      </c>
      <c r="T27" s="650">
        <v>7.0000000000000007E-2</v>
      </c>
      <c r="U27" s="650">
        <v>2.17</v>
      </c>
      <c r="V27" s="651"/>
      <c r="W27" s="266"/>
      <c r="X27" s="266"/>
      <c r="Y27" s="266"/>
      <c r="Z27" s="266"/>
      <c r="AA27" s="590">
        <f>Численность!G25</f>
        <v>87</v>
      </c>
      <c r="AB27" s="594">
        <f t="shared" si="0"/>
        <v>25.74712643678161</v>
      </c>
      <c r="AC27" s="271"/>
      <c r="AD27" s="274"/>
      <c r="AE27" s="566">
        <v>2.2400000000000002</v>
      </c>
      <c r="AF27" s="567"/>
    </row>
    <row r="28" spans="1:36">
      <c r="A28" s="215"/>
      <c r="B28" s="216" t="s">
        <v>270</v>
      </c>
      <c r="C28" s="684">
        <v>57</v>
      </c>
      <c r="D28" s="128"/>
      <c r="E28" s="128">
        <v>57</v>
      </c>
      <c r="F28" s="128"/>
      <c r="G28" s="681">
        <f t="shared" si="18"/>
        <v>2.4510000000000001</v>
      </c>
      <c r="H28" s="644"/>
      <c r="I28" s="644">
        <v>2.4510000000000001</v>
      </c>
      <c r="J28" s="644"/>
      <c r="K28" s="702">
        <f t="shared" si="17"/>
        <v>57</v>
      </c>
      <c r="L28" s="704">
        <v>57</v>
      </c>
      <c r="M28" s="705"/>
      <c r="N28" s="701"/>
      <c r="O28" s="643">
        <f t="shared" si="19"/>
        <v>2.4510000000000001</v>
      </c>
      <c r="P28" s="640">
        <v>2.4510000000000001</v>
      </c>
      <c r="Q28" s="640"/>
      <c r="R28" s="644"/>
      <c r="S28" s="649">
        <v>2.4500000000000002</v>
      </c>
      <c r="T28" s="650">
        <v>0.06</v>
      </c>
      <c r="U28" s="650">
        <v>2.39</v>
      </c>
      <c r="V28" s="551"/>
      <c r="W28" s="283"/>
      <c r="X28" s="283"/>
      <c r="Y28" s="283"/>
      <c r="Z28" s="283"/>
      <c r="AA28" s="590">
        <f>Численность!G26</f>
        <v>62</v>
      </c>
      <c r="AB28" s="594">
        <f t="shared" si="0"/>
        <v>39.516129032258064</v>
      </c>
      <c r="AC28" s="270"/>
      <c r="AD28" s="274"/>
      <c r="AE28" s="566">
        <v>2.4500000000000002</v>
      </c>
      <c r="AF28" s="567"/>
    </row>
    <row r="29" spans="1:36" s="220" customFormat="1" ht="31.5">
      <c r="A29" s="646" t="s">
        <v>271</v>
      </c>
      <c r="B29" s="188"/>
      <c r="C29" s="685">
        <f>D29+E29+F29</f>
        <v>639</v>
      </c>
      <c r="D29" s="707">
        <f>SUM(D30:D34)</f>
        <v>135</v>
      </c>
      <c r="E29" s="707">
        <f t="shared" ref="E29:F29" si="20">SUM(E30:E34)</f>
        <v>504</v>
      </c>
      <c r="F29" s="707">
        <f t="shared" si="20"/>
        <v>0</v>
      </c>
      <c r="G29" s="707">
        <f>H29+I29+J29</f>
        <v>40.1</v>
      </c>
      <c r="H29" s="707">
        <f>SUM(H30:H34)</f>
        <v>8.1999999999999993</v>
      </c>
      <c r="I29" s="707">
        <f t="shared" ref="I29" si="21">SUM(I30:I34)</f>
        <v>31.900000000000002</v>
      </c>
      <c r="J29" s="707">
        <f t="shared" ref="J29" si="22">SUM(J30:J34)</f>
        <v>0</v>
      </c>
      <c r="K29" s="708">
        <f>L29+M29+N29</f>
        <v>639</v>
      </c>
      <c r="L29" s="708">
        <f>SUM(L30:L34)</f>
        <v>639</v>
      </c>
      <c r="M29" s="703">
        <f t="shared" ref="M29" si="23">SUM(M30:M34)</f>
        <v>0</v>
      </c>
      <c r="N29" s="703">
        <f t="shared" ref="N29" si="24">SUM(N30:N34)</f>
        <v>0</v>
      </c>
      <c r="O29" s="221">
        <f>P29+Q29+R29</f>
        <v>40.099999999999994</v>
      </c>
      <c r="P29" s="222">
        <f>SUM(P30:P34)</f>
        <v>40.099999999999994</v>
      </c>
      <c r="Q29" s="222">
        <f t="shared" ref="Q29" si="25">SUM(Q30:Q34)</f>
        <v>0</v>
      </c>
      <c r="R29" s="222">
        <f t="shared" ref="R29" si="26">SUM(R30:R34)</f>
        <v>0</v>
      </c>
      <c r="S29" s="634">
        <f>SUM(S30:S34)</f>
        <v>40.1</v>
      </c>
      <c r="T29" s="494">
        <f>SUM(T30:T34)</f>
        <v>0.5</v>
      </c>
      <c r="U29" s="494">
        <f>SUM(U30:U34)</f>
        <v>39.6</v>
      </c>
      <c r="V29" s="494">
        <f>SUM(V30:V34)</f>
        <v>0</v>
      </c>
      <c r="W29" s="499"/>
      <c r="X29" s="287"/>
      <c r="Y29" s="287"/>
      <c r="Z29" s="287"/>
      <c r="AA29" s="580">
        <f>Численность!G27</f>
        <v>1680</v>
      </c>
      <c r="AB29" s="583">
        <f t="shared" si="0"/>
        <v>23.86904761904762</v>
      </c>
      <c r="AC29" s="288"/>
      <c r="AD29" s="281"/>
      <c r="AE29" s="513"/>
      <c r="AF29" s="281"/>
      <c r="AG29" s="152"/>
      <c r="AH29" s="152"/>
      <c r="AI29" s="152"/>
      <c r="AJ29" s="152"/>
    </row>
    <row r="30" spans="1:36">
      <c r="A30" s="216"/>
      <c r="B30" s="216" t="s">
        <v>272</v>
      </c>
      <c r="C30" s="684">
        <f t="shared" ref="C30:C34" si="27">D30+E30+F30</f>
        <v>213</v>
      </c>
      <c r="D30" s="7">
        <v>38</v>
      </c>
      <c r="E30" s="7">
        <v>175</v>
      </c>
      <c r="F30" s="7">
        <v>0</v>
      </c>
      <c r="G30" s="221">
        <f t="shared" ref="G30:G34" si="28">H30+I30+J30</f>
        <v>13.7</v>
      </c>
      <c r="H30" s="146">
        <v>2.2999999999999998</v>
      </c>
      <c r="I30" s="146">
        <v>11.4</v>
      </c>
      <c r="J30" s="146"/>
      <c r="K30" s="703">
        <f t="shared" ref="K30:K34" si="29">L30+M30+N30</f>
        <v>213</v>
      </c>
      <c r="L30" s="704">
        <v>213</v>
      </c>
      <c r="M30" s="705"/>
      <c r="N30" s="701"/>
      <c r="O30" s="221">
        <f t="shared" ref="O30:O34" si="30">P30+Q30+R30</f>
        <v>13.7</v>
      </c>
      <c r="P30" s="144">
        <v>13.7</v>
      </c>
      <c r="Q30" s="145"/>
      <c r="R30" s="145"/>
      <c r="S30" s="634">
        <v>12.8</v>
      </c>
      <c r="T30" s="472">
        <v>0.4</v>
      </c>
      <c r="U30" s="472">
        <f>S30-T30</f>
        <v>12.4</v>
      </c>
      <c r="V30" s="472"/>
      <c r="W30" s="269"/>
      <c r="X30" s="269"/>
      <c r="Y30" s="269"/>
      <c r="Z30" s="269"/>
      <c r="AA30" s="590">
        <f>Численность!G28</f>
        <v>566</v>
      </c>
      <c r="AB30" s="594">
        <f t="shared" si="0"/>
        <v>22.614840989399294</v>
      </c>
      <c r="AC30" s="270"/>
      <c r="AD30" s="274"/>
      <c r="AE30" s="300"/>
      <c r="AF30" s="256"/>
    </row>
    <row r="31" spans="1:36">
      <c r="A31" s="216"/>
      <c r="B31" s="216" t="s">
        <v>273</v>
      </c>
      <c r="C31" s="684">
        <f t="shared" si="27"/>
        <v>54</v>
      </c>
      <c r="D31" s="7">
        <v>20</v>
      </c>
      <c r="E31" s="7">
        <v>34</v>
      </c>
      <c r="F31" s="7">
        <v>0</v>
      </c>
      <c r="G31" s="221">
        <f t="shared" si="28"/>
        <v>2.8</v>
      </c>
      <c r="H31" s="146">
        <v>1.2</v>
      </c>
      <c r="I31" s="146">
        <v>1.6</v>
      </c>
      <c r="J31" s="146"/>
      <c r="K31" s="703">
        <f t="shared" si="29"/>
        <v>54</v>
      </c>
      <c r="L31" s="704">
        <v>54</v>
      </c>
      <c r="M31" s="705"/>
      <c r="N31" s="701"/>
      <c r="O31" s="221">
        <f t="shared" si="30"/>
        <v>2.8</v>
      </c>
      <c r="P31" s="144">
        <v>2.8</v>
      </c>
      <c r="Q31" s="145"/>
      <c r="R31" s="145"/>
      <c r="S31" s="634">
        <v>2.4</v>
      </c>
      <c r="T31" s="24">
        <v>0</v>
      </c>
      <c r="U31" s="472">
        <f>S31-T31</f>
        <v>2.4</v>
      </c>
      <c r="V31" s="472"/>
      <c r="W31" s="269"/>
      <c r="X31" s="269"/>
      <c r="Y31" s="269"/>
      <c r="Z31" s="269"/>
      <c r="AA31" s="590">
        <f>Численность!G29</f>
        <v>147</v>
      </c>
      <c r="AB31" s="594">
        <f t="shared" si="0"/>
        <v>16.326530612244898</v>
      </c>
      <c r="AC31" s="270"/>
      <c r="AD31" s="274"/>
      <c r="AE31" s="300"/>
      <c r="AF31" s="256"/>
    </row>
    <row r="32" spans="1:36" s="152" customFormat="1">
      <c r="A32" s="216"/>
      <c r="B32" s="216" t="s">
        <v>274</v>
      </c>
      <c r="C32" s="684">
        <f t="shared" si="27"/>
        <v>171</v>
      </c>
      <c r="D32" s="7">
        <v>60</v>
      </c>
      <c r="E32" s="7">
        <v>111</v>
      </c>
      <c r="F32" s="7">
        <v>0</v>
      </c>
      <c r="G32" s="221">
        <f t="shared" si="28"/>
        <v>11.899999999999999</v>
      </c>
      <c r="H32" s="146">
        <v>3.7</v>
      </c>
      <c r="I32" s="146">
        <v>8.1999999999999993</v>
      </c>
      <c r="J32" s="146"/>
      <c r="K32" s="703">
        <f t="shared" si="29"/>
        <v>171</v>
      </c>
      <c r="L32" s="704">
        <v>171</v>
      </c>
      <c r="M32" s="706"/>
      <c r="N32" s="704"/>
      <c r="O32" s="221">
        <f t="shared" si="30"/>
        <v>11.9</v>
      </c>
      <c r="P32" s="144">
        <v>11.9</v>
      </c>
      <c r="Q32" s="144"/>
      <c r="R32" s="144"/>
      <c r="S32" s="634">
        <v>12.1</v>
      </c>
      <c r="T32" s="472">
        <v>0.1</v>
      </c>
      <c r="U32" s="472">
        <f>S32-T32</f>
        <v>12</v>
      </c>
      <c r="V32" s="472"/>
      <c r="W32" s="285"/>
      <c r="X32" s="285"/>
      <c r="Y32" s="285"/>
      <c r="Z32" s="285"/>
      <c r="AA32" s="590">
        <f>Численность!G30</f>
        <v>501</v>
      </c>
      <c r="AB32" s="594">
        <f t="shared" si="0"/>
        <v>24.151696606786427</v>
      </c>
      <c r="AC32" s="270"/>
      <c r="AD32" s="278"/>
      <c r="AE32" s="300"/>
      <c r="AF32" s="277"/>
    </row>
    <row r="33" spans="1:37" s="152" customFormat="1">
      <c r="A33" s="216"/>
      <c r="B33" s="216" t="s">
        <v>275</v>
      </c>
      <c r="C33" s="684">
        <f t="shared" si="27"/>
        <v>136</v>
      </c>
      <c r="D33" s="7">
        <v>0</v>
      </c>
      <c r="E33" s="7">
        <v>136</v>
      </c>
      <c r="F33" s="7">
        <v>0</v>
      </c>
      <c r="G33" s="221">
        <f t="shared" si="28"/>
        <v>9.4</v>
      </c>
      <c r="H33" s="146">
        <v>0</v>
      </c>
      <c r="I33" s="146">
        <v>9.4</v>
      </c>
      <c r="J33" s="146"/>
      <c r="K33" s="703">
        <f t="shared" si="29"/>
        <v>136</v>
      </c>
      <c r="L33" s="704">
        <v>136</v>
      </c>
      <c r="M33" s="706"/>
      <c r="N33" s="701"/>
      <c r="O33" s="221">
        <f t="shared" si="30"/>
        <v>9.4</v>
      </c>
      <c r="P33" s="144">
        <v>9.4</v>
      </c>
      <c r="Q33" s="144"/>
      <c r="R33" s="144"/>
      <c r="S33" s="634">
        <v>10.8</v>
      </c>
      <c r="T33" s="24">
        <v>0</v>
      </c>
      <c r="U33" s="472">
        <f>S33-T33</f>
        <v>10.8</v>
      </c>
      <c r="V33" s="472"/>
      <c r="W33" s="285"/>
      <c r="X33" s="285"/>
      <c r="Y33" s="285"/>
      <c r="Z33" s="285"/>
      <c r="AA33" s="590">
        <f>Численность!G31</f>
        <v>382</v>
      </c>
      <c r="AB33" s="594">
        <f t="shared" si="0"/>
        <v>28.272251308900522</v>
      </c>
      <c r="AC33" s="270"/>
      <c r="AD33" s="278"/>
      <c r="AE33" s="300"/>
      <c r="AF33" s="277"/>
    </row>
    <row r="34" spans="1:37" s="152" customFormat="1">
      <c r="A34" s="215" t="s">
        <v>297</v>
      </c>
      <c r="B34" s="216" t="s">
        <v>276</v>
      </c>
      <c r="C34" s="684">
        <f t="shared" si="27"/>
        <v>65</v>
      </c>
      <c r="D34" s="7">
        <v>17</v>
      </c>
      <c r="E34" s="7">
        <v>48</v>
      </c>
      <c r="F34" s="7">
        <v>0</v>
      </c>
      <c r="G34" s="221">
        <f t="shared" si="28"/>
        <v>2.2999999999999998</v>
      </c>
      <c r="H34" s="142">
        <v>1</v>
      </c>
      <c r="I34" s="142">
        <v>1.3</v>
      </c>
      <c r="J34" s="146"/>
      <c r="K34" s="703">
        <f t="shared" si="29"/>
        <v>65</v>
      </c>
      <c r="L34" s="704">
        <v>65</v>
      </c>
      <c r="M34" s="706"/>
      <c r="N34" s="701"/>
      <c r="O34" s="221">
        <f t="shared" si="30"/>
        <v>2.2999999999999998</v>
      </c>
      <c r="P34" s="153">
        <v>2.2999999999999998</v>
      </c>
      <c r="Q34" s="144"/>
      <c r="R34" s="144"/>
      <c r="S34" s="634">
        <v>2</v>
      </c>
      <c r="T34" s="24">
        <v>0</v>
      </c>
      <c r="U34" s="472">
        <f>S34-T34</f>
        <v>2</v>
      </c>
      <c r="V34" s="472"/>
      <c r="W34" s="285"/>
      <c r="X34" s="285"/>
      <c r="Y34" s="285"/>
      <c r="Z34" s="285"/>
      <c r="AA34" s="590">
        <f>Численность!G32</f>
        <v>84</v>
      </c>
      <c r="AB34" s="594">
        <f t="shared" si="0"/>
        <v>23.80952380952381</v>
      </c>
      <c r="AC34" s="270"/>
      <c r="AD34" s="278"/>
      <c r="AE34" s="300"/>
      <c r="AF34" s="277"/>
    </row>
    <row r="35" spans="1:37" s="220" customFormat="1" ht="31.5">
      <c r="A35" s="184" t="s">
        <v>277</v>
      </c>
      <c r="B35" s="188"/>
      <c r="C35" s="685"/>
      <c r="D35" s="222"/>
      <c r="E35" s="222"/>
      <c r="F35" s="222"/>
      <c r="G35" s="652">
        <v>20.079999999999998</v>
      </c>
      <c r="H35" s="636"/>
      <c r="I35" s="636"/>
      <c r="J35" s="636"/>
      <c r="K35" s="636"/>
      <c r="L35" s="636"/>
      <c r="M35" s="636"/>
      <c r="N35" s="636"/>
      <c r="O35" s="652">
        <v>20.079999999999998</v>
      </c>
      <c r="P35" s="161"/>
      <c r="Q35" s="161"/>
      <c r="R35" s="636"/>
      <c r="S35" s="279">
        <f>SUM(S36:S40)</f>
        <v>20.079999999999998</v>
      </c>
      <c r="T35" s="279">
        <f>SUM(T36:T40)</f>
        <v>6.08</v>
      </c>
      <c r="U35" s="279">
        <f>SUM(U36:U40)</f>
        <v>12.5</v>
      </c>
      <c r="V35" s="279">
        <f>SUM(V36:V40)</f>
        <v>1.5</v>
      </c>
      <c r="W35" s="498"/>
      <c r="X35" s="253"/>
      <c r="Y35" s="253"/>
      <c r="Z35" s="253"/>
      <c r="AA35" s="580">
        <f>Численность!G33</f>
        <v>933</v>
      </c>
      <c r="AB35" s="583">
        <f t="shared" si="0"/>
        <v>21.521972132904608</v>
      </c>
      <c r="AC35" s="281"/>
      <c r="AD35" s="281"/>
      <c r="AE35" s="306">
        <f>SUM(AE36:AE40)</f>
        <v>7.1999999999999993</v>
      </c>
      <c r="AF35" s="306">
        <f>SUM(AF36:AF40)</f>
        <v>3</v>
      </c>
      <c r="AG35" s="152"/>
      <c r="AH35" s="152"/>
      <c r="AI35" s="152"/>
      <c r="AJ35" s="152"/>
    </row>
    <row r="36" spans="1:37" s="152" customFormat="1">
      <c r="A36" s="216"/>
      <c r="B36" s="216" t="s">
        <v>278</v>
      </c>
      <c r="C36" s="685"/>
      <c r="D36" s="7"/>
      <c r="E36" s="7"/>
      <c r="F36" s="7"/>
      <c r="G36" s="632">
        <v>9.8000000000000007</v>
      </c>
      <c r="H36" s="638"/>
      <c r="I36" s="638"/>
      <c r="J36" s="653"/>
      <c r="K36" s="680"/>
      <c r="L36" s="638"/>
      <c r="M36" s="638"/>
      <c r="N36" s="638"/>
      <c r="O36" s="632">
        <v>9.8000000000000007</v>
      </c>
      <c r="P36" s="144"/>
      <c r="Q36" s="144"/>
      <c r="R36" s="604"/>
      <c r="S36" s="273">
        <v>9.8000000000000007</v>
      </c>
      <c r="T36" s="272">
        <v>1.3</v>
      </c>
      <c r="U36" s="272">
        <v>8.1</v>
      </c>
      <c r="V36" s="269">
        <v>0.4</v>
      </c>
      <c r="W36" s="265"/>
      <c r="X36" s="285"/>
      <c r="Y36" s="285"/>
      <c r="Z36" s="285"/>
      <c r="AA36" s="590">
        <f>Численность!G34</f>
        <v>492</v>
      </c>
      <c r="AB36" s="594">
        <f t="shared" si="0"/>
        <v>19.918699186991869</v>
      </c>
      <c r="AC36" s="278"/>
      <c r="AD36" s="278"/>
      <c r="AE36" s="304"/>
      <c r="AF36" s="277"/>
    </row>
    <row r="37" spans="1:37">
      <c r="A37" s="216"/>
      <c r="B37" s="216" t="s">
        <v>279</v>
      </c>
      <c r="C37" s="684"/>
      <c r="D37" s="7"/>
      <c r="E37" s="7"/>
      <c r="F37" s="7"/>
      <c r="G37" s="632">
        <v>3.4</v>
      </c>
      <c r="H37" s="638"/>
      <c r="I37" s="638"/>
      <c r="J37" s="604"/>
      <c r="K37" s="680"/>
      <c r="L37" s="638"/>
      <c r="M37" s="638"/>
      <c r="N37" s="638"/>
      <c r="O37" s="632">
        <v>3.4</v>
      </c>
      <c r="P37" s="144"/>
      <c r="Q37" s="144"/>
      <c r="R37" s="604"/>
      <c r="S37" s="273">
        <v>3.4</v>
      </c>
      <c r="T37" s="770">
        <v>0.1</v>
      </c>
      <c r="U37" s="272">
        <v>2.2999999999999998</v>
      </c>
      <c r="V37" s="269">
        <v>1</v>
      </c>
      <c r="W37" s="265"/>
      <c r="X37" s="283"/>
      <c r="Y37" s="283"/>
      <c r="Z37" s="283"/>
      <c r="AA37" s="590">
        <f>Численность!G35</f>
        <v>134</v>
      </c>
      <c r="AB37" s="594">
        <f t="shared" si="0"/>
        <v>25.373134328358208</v>
      </c>
      <c r="AC37" s="275"/>
      <c r="AD37" s="275"/>
      <c r="AE37" s="304">
        <v>3.4</v>
      </c>
      <c r="AF37" s="256"/>
    </row>
    <row r="38" spans="1:37">
      <c r="A38" s="216"/>
      <c r="B38" s="216" t="s">
        <v>280</v>
      </c>
      <c r="C38" s="684"/>
      <c r="D38" s="7"/>
      <c r="E38" s="7"/>
      <c r="F38" s="7"/>
      <c r="G38" s="632">
        <v>2.2999999999999998</v>
      </c>
      <c r="H38" s="638"/>
      <c r="I38" s="638"/>
      <c r="J38" s="604"/>
      <c r="K38" s="680"/>
      <c r="L38" s="638"/>
      <c r="M38" s="638"/>
      <c r="N38" s="638"/>
      <c r="O38" s="632">
        <v>2.2999999999999998</v>
      </c>
      <c r="P38" s="144"/>
      <c r="Q38" s="144"/>
      <c r="R38" s="604"/>
      <c r="S38" s="273">
        <v>2.2999999999999998</v>
      </c>
      <c r="T38" s="272">
        <v>1.3</v>
      </c>
      <c r="U38" s="272">
        <v>0.9</v>
      </c>
      <c r="V38" s="269">
        <v>0.1</v>
      </c>
      <c r="W38" s="265"/>
      <c r="X38" s="283"/>
      <c r="Y38" s="283"/>
      <c r="Z38" s="283"/>
      <c r="AA38" s="590">
        <f>Численность!G36</f>
        <v>134</v>
      </c>
      <c r="AB38" s="594">
        <f t="shared" si="0"/>
        <v>17.164179104477611</v>
      </c>
      <c r="AC38" s="275"/>
      <c r="AD38" s="275"/>
      <c r="AE38" s="304">
        <v>2.2999999999999998</v>
      </c>
      <c r="AF38" s="256"/>
    </row>
    <row r="39" spans="1:37" s="152" customFormat="1">
      <c r="A39" s="216"/>
      <c r="B39" s="216" t="s">
        <v>281</v>
      </c>
      <c r="C39" s="685"/>
      <c r="D39" s="17"/>
      <c r="E39" s="17"/>
      <c r="F39" s="17"/>
      <c r="G39" s="632">
        <v>0.57999999999999996</v>
      </c>
      <c r="H39" s="600"/>
      <c r="I39" s="600"/>
      <c r="J39" s="653"/>
      <c r="K39" s="636"/>
      <c r="L39" s="600"/>
      <c r="M39" s="600"/>
      <c r="N39" s="600"/>
      <c r="O39" s="632">
        <v>0.57999999999999996</v>
      </c>
      <c r="P39" s="217"/>
      <c r="Q39" s="217"/>
      <c r="R39" s="604"/>
      <c r="S39" s="273">
        <v>0.57999999999999996</v>
      </c>
      <c r="T39" s="272">
        <v>0.18</v>
      </c>
      <c r="U39" s="272">
        <v>0.4</v>
      </c>
      <c r="V39" s="269"/>
      <c r="W39" s="265"/>
      <c r="X39" s="285"/>
      <c r="Y39" s="285"/>
      <c r="Z39" s="285"/>
      <c r="AA39" s="590">
        <f>Численность!G37</f>
        <v>21</v>
      </c>
      <c r="AB39" s="594">
        <f t="shared" si="0"/>
        <v>27.61904761904762</v>
      </c>
      <c r="AC39" s="278"/>
      <c r="AD39" s="278"/>
      <c r="AE39" s="304">
        <v>0.5</v>
      </c>
      <c r="AF39" s="277"/>
    </row>
    <row r="40" spans="1:37" s="152" customFormat="1">
      <c r="A40" s="215"/>
      <c r="B40" s="216" t="s">
        <v>282</v>
      </c>
      <c r="C40" s="685"/>
      <c r="D40" s="17"/>
      <c r="E40" s="17"/>
      <c r="F40" s="17"/>
      <c r="G40" s="632">
        <v>4</v>
      </c>
      <c r="H40" s="600"/>
      <c r="I40" s="600"/>
      <c r="J40" s="600"/>
      <c r="K40" s="636"/>
      <c r="L40" s="600"/>
      <c r="M40" s="600"/>
      <c r="N40" s="600"/>
      <c r="O40" s="632">
        <v>4</v>
      </c>
      <c r="P40" s="160"/>
      <c r="Q40" s="160"/>
      <c r="R40" s="604"/>
      <c r="S40" s="273">
        <v>4</v>
      </c>
      <c r="T40" s="272">
        <v>3.2</v>
      </c>
      <c r="U40" s="272">
        <v>0.8</v>
      </c>
      <c r="V40" s="267"/>
      <c r="W40" s="265"/>
      <c r="X40" s="284"/>
      <c r="Y40" s="284"/>
      <c r="Z40" s="284"/>
      <c r="AA40" s="590">
        <f>Численность!G38</f>
        <v>152</v>
      </c>
      <c r="AB40" s="594">
        <f t="shared" si="0"/>
        <v>26.315789473684209</v>
      </c>
      <c r="AC40" s="278"/>
      <c r="AD40" s="278"/>
      <c r="AE40" s="304">
        <v>1</v>
      </c>
      <c r="AF40" s="304">
        <v>3</v>
      </c>
    </row>
    <row r="41" spans="1:37" s="220" customFormat="1" ht="31.5">
      <c r="A41" s="188" t="s">
        <v>283</v>
      </c>
      <c r="B41" s="188"/>
      <c r="C41" s="685"/>
      <c r="D41" s="247"/>
      <c r="E41" s="247"/>
      <c r="F41" s="247"/>
      <c r="G41" s="652">
        <v>17.2</v>
      </c>
      <c r="H41" s="636"/>
      <c r="I41" s="636"/>
      <c r="J41" s="636"/>
      <c r="K41" s="654"/>
      <c r="L41" s="654"/>
      <c r="M41" s="654"/>
      <c r="N41" s="654"/>
      <c r="O41" s="655">
        <v>17.2</v>
      </c>
      <c r="P41" s="656"/>
      <c r="Q41" s="656"/>
      <c r="R41" s="656"/>
      <c r="S41" s="655">
        <f>SUM(S42:S45)</f>
        <v>17.2</v>
      </c>
      <c r="T41" s="655">
        <f>SUM(T42:T45)</f>
        <v>3.9000000000000004</v>
      </c>
      <c r="U41" s="655">
        <f>SUM(U42:U45)</f>
        <v>13.299999999999999</v>
      </c>
      <c r="V41" s="657"/>
      <c r="W41" s="502"/>
      <c r="X41" s="301"/>
      <c r="Y41" s="301"/>
      <c r="Z41" s="301"/>
      <c r="AA41" s="580">
        <f>Численность!G39</f>
        <v>1044</v>
      </c>
      <c r="AB41" s="583">
        <f t="shared" si="0"/>
        <v>16.475095785440612</v>
      </c>
      <c r="AC41" s="301"/>
      <c r="AD41" s="301"/>
      <c r="AE41" s="303">
        <f>SUM(AE42:AE45)</f>
        <v>11.9</v>
      </c>
      <c r="AF41" s="302"/>
      <c r="AG41" s="152"/>
      <c r="AH41" s="152"/>
      <c r="AI41" s="152"/>
      <c r="AJ41" s="152"/>
    </row>
    <row r="42" spans="1:37">
      <c r="A42" s="216"/>
      <c r="B42" s="216" t="s">
        <v>284</v>
      </c>
      <c r="C42" s="684"/>
      <c r="D42" s="7"/>
      <c r="E42" s="7"/>
      <c r="F42" s="7"/>
      <c r="G42" s="633">
        <v>11.5</v>
      </c>
      <c r="H42" s="638"/>
      <c r="I42" s="638"/>
      <c r="J42" s="638"/>
      <c r="K42" s="695"/>
      <c r="L42" s="658"/>
      <c r="M42" s="658"/>
      <c r="N42" s="658"/>
      <c r="O42" s="633">
        <v>11.5</v>
      </c>
      <c r="P42" s="604"/>
      <c r="Q42" s="604"/>
      <c r="R42" s="659"/>
      <c r="S42" s="633">
        <f>T42+U42</f>
        <v>11.5</v>
      </c>
      <c r="T42" s="541">
        <v>2.6</v>
      </c>
      <c r="U42" s="541">
        <v>8.9</v>
      </c>
      <c r="V42" s="474"/>
      <c r="W42" s="283"/>
      <c r="X42" s="283"/>
      <c r="Y42" s="283"/>
      <c r="Z42" s="283"/>
      <c r="AA42" s="590">
        <f>Численность!G40</f>
        <v>678</v>
      </c>
      <c r="AB42" s="594">
        <f t="shared" si="0"/>
        <v>16.961651917404129</v>
      </c>
      <c r="AC42" s="274"/>
      <c r="AD42" s="274"/>
      <c r="AE42" s="304">
        <v>8.1</v>
      </c>
      <c r="AF42" s="256"/>
      <c r="AG42" s="20"/>
      <c r="AH42" s="20"/>
      <c r="AI42" s="20"/>
      <c r="AJ42" s="20"/>
      <c r="AK42" s="20"/>
    </row>
    <row r="43" spans="1:37" s="163" customFormat="1">
      <c r="A43" s="216"/>
      <c r="B43" s="216" t="s">
        <v>285</v>
      </c>
      <c r="C43" s="684"/>
      <c r="D43" s="7"/>
      <c r="E43" s="7"/>
      <c r="F43" s="7"/>
      <c r="G43" s="633">
        <v>4.2</v>
      </c>
      <c r="H43" s="638"/>
      <c r="I43" s="638"/>
      <c r="J43" s="638"/>
      <c r="K43" s="695"/>
      <c r="L43" s="658"/>
      <c r="M43" s="658"/>
      <c r="N43" s="658"/>
      <c r="O43" s="633">
        <v>4.2</v>
      </c>
      <c r="P43" s="604"/>
      <c r="Q43" s="604"/>
      <c r="R43" s="659"/>
      <c r="S43" s="633">
        <f>T43+U43</f>
        <v>4.2</v>
      </c>
      <c r="T43" s="541">
        <v>1.1000000000000001</v>
      </c>
      <c r="U43" s="541">
        <v>3.1</v>
      </c>
      <c r="V43" s="474"/>
      <c r="W43" s="283"/>
      <c r="X43" s="283"/>
      <c r="Y43" s="283"/>
      <c r="Z43" s="283"/>
      <c r="AA43" s="590">
        <f>Численность!G41</f>
        <v>291</v>
      </c>
      <c r="AB43" s="594">
        <f t="shared" si="0"/>
        <v>14.43298969072165</v>
      </c>
      <c r="AC43" s="274"/>
      <c r="AD43" s="274"/>
      <c r="AE43" s="304">
        <v>2.9</v>
      </c>
      <c r="AF43" s="256"/>
      <c r="AG43" s="248"/>
      <c r="AH43" s="248"/>
      <c r="AI43" s="248"/>
      <c r="AJ43" s="248"/>
      <c r="AK43" s="248"/>
    </row>
    <row r="44" spans="1:37">
      <c r="A44" s="216"/>
      <c r="B44" s="216" t="s">
        <v>286</v>
      </c>
      <c r="C44" s="684"/>
      <c r="D44" s="7"/>
      <c r="E44" s="7"/>
      <c r="F44" s="7"/>
      <c r="G44" s="633">
        <v>1.3</v>
      </c>
      <c r="H44" s="638"/>
      <c r="I44" s="638"/>
      <c r="J44" s="638"/>
      <c r="K44" s="695"/>
      <c r="L44" s="658"/>
      <c r="M44" s="658"/>
      <c r="N44" s="658"/>
      <c r="O44" s="633">
        <v>1.3</v>
      </c>
      <c r="P44" s="604"/>
      <c r="Q44" s="604"/>
      <c r="R44" s="659"/>
      <c r="S44" s="633">
        <f>T44+U44</f>
        <v>1.3</v>
      </c>
      <c r="T44" s="541">
        <v>0.2</v>
      </c>
      <c r="U44" s="541">
        <v>1.1000000000000001</v>
      </c>
      <c r="V44" s="474"/>
      <c r="W44" s="283"/>
      <c r="X44" s="283"/>
      <c r="Y44" s="283"/>
      <c r="Z44" s="283"/>
      <c r="AA44" s="590">
        <f>Численность!G42</f>
        <v>73</v>
      </c>
      <c r="AB44" s="594">
        <f t="shared" si="0"/>
        <v>17.80821917808219</v>
      </c>
      <c r="AC44" s="274"/>
      <c r="AD44" s="274"/>
      <c r="AE44" s="304">
        <v>0.9</v>
      </c>
      <c r="AF44" s="256"/>
      <c r="AG44" s="20"/>
      <c r="AH44" s="20"/>
      <c r="AI44" s="20"/>
      <c r="AJ44" s="20"/>
      <c r="AK44" s="20"/>
    </row>
    <row r="45" spans="1:37" s="152" customFormat="1">
      <c r="A45" s="216"/>
      <c r="B45" s="216" t="s">
        <v>287</v>
      </c>
      <c r="C45" s="685"/>
      <c r="D45" s="158"/>
      <c r="E45" s="158"/>
      <c r="F45" s="158"/>
      <c r="G45" s="633">
        <v>0.2</v>
      </c>
      <c r="H45" s="600"/>
      <c r="I45" s="600"/>
      <c r="J45" s="600"/>
      <c r="K45" s="654"/>
      <c r="L45" s="660"/>
      <c r="M45" s="660"/>
      <c r="N45" s="660"/>
      <c r="O45" s="633">
        <v>0.2</v>
      </c>
      <c r="P45" s="653"/>
      <c r="Q45" s="653"/>
      <c r="R45" s="661"/>
      <c r="S45" s="633">
        <f>T45+U45</f>
        <v>0.2</v>
      </c>
      <c r="T45" s="542"/>
      <c r="U45" s="541">
        <v>0.2</v>
      </c>
      <c r="V45" s="662"/>
      <c r="W45" s="285"/>
      <c r="X45" s="285"/>
      <c r="Y45" s="285"/>
      <c r="Z45" s="285"/>
      <c r="AA45" s="590">
        <f>Численность!G43</f>
        <v>2</v>
      </c>
      <c r="AB45" s="594">
        <f t="shared" si="0"/>
        <v>100</v>
      </c>
      <c r="AC45" s="284"/>
      <c r="AD45" s="284"/>
      <c r="AE45" s="305"/>
      <c r="AF45" s="277"/>
      <c r="AG45" s="157"/>
      <c r="AH45" s="157"/>
      <c r="AI45" s="157"/>
      <c r="AJ45" s="157"/>
      <c r="AK45" s="157"/>
    </row>
    <row r="46" spans="1:37" s="220" customFormat="1" ht="18" customHeight="1">
      <c r="A46" s="188" t="s">
        <v>288</v>
      </c>
      <c r="B46" s="188"/>
      <c r="C46" s="687"/>
      <c r="D46" s="309"/>
      <c r="E46" s="309"/>
      <c r="F46" s="309"/>
      <c r="G46" s="624">
        <v>17.29</v>
      </c>
      <c r="H46" s="611"/>
      <c r="I46" s="611"/>
      <c r="J46" s="611"/>
      <c r="K46" s="612"/>
      <c r="L46" s="612"/>
      <c r="M46" s="612"/>
      <c r="N46" s="612"/>
      <c r="O46" s="763">
        <v>17.29</v>
      </c>
      <c r="P46" s="310"/>
      <c r="Q46" s="310"/>
      <c r="R46" s="311"/>
      <c r="S46" s="624">
        <f>T46+U46+V46</f>
        <v>17.29</v>
      </c>
      <c r="T46" s="586">
        <f>SUM(T47:T49)</f>
        <v>5.8710999999999993</v>
      </c>
      <c r="U46" s="605">
        <f>SUM(U47:U49)</f>
        <v>11.418900000000001</v>
      </c>
      <c r="V46" s="602"/>
      <c r="W46" s="503"/>
      <c r="X46" s="312"/>
      <c r="Y46" s="308"/>
      <c r="Z46" s="308"/>
      <c r="AA46" s="580">
        <f>Численность!G44</f>
        <v>1050</v>
      </c>
      <c r="AB46" s="583">
        <f t="shared" si="0"/>
        <v>16.466666666666665</v>
      </c>
      <c r="AC46" s="308"/>
      <c r="AD46" s="308"/>
      <c r="AE46" s="306">
        <f>SUM(AE47:AE49)</f>
        <v>3366.2</v>
      </c>
      <c r="AF46" s="306">
        <f>SUM(AF47:AF49)</f>
        <v>2504.8999999999996</v>
      </c>
      <c r="AG46" s="157"/>
      <c r="AH46" s="157"/>
      <c r="AI46" s="157"/>
      <c r="AJ46" s="157"/>
      <c r="AK46" s="219"/>
    </row>
    <row r="47" spans="1:37" ht="13.5" customHeight="1">
      <c r="A47" s="216"/>
      <c r="B47" s="216" t="s">
        <v>289</v>
      </c>
      <c r="C47" s="688"/>
      <c r="D47" s="313"/>
      <c r="E47" s="313"/>
      <c r="F47" s="313"/>
      <c r="G47" s="625">
        <v>13.600000000000001</v>
      </c>
      <c r="H47" s="613"/>
      <c r="I47" s="613"/>
      <c r="J47" s="613"/>
      <c r="K47" s="696"/>
      <c r="L47" s="614"/>
      <c r="M47" s="614"/>
      <c r="N47" s="614"/>
      <c r="O47" s="764">
        <v>13.600000000000001</v>
      </c>
      <c r="P47" s="314"/>
      <c r="Q47" s="314"/>
      <c r="R47" s="315"/>
      <c r="S47" s="625">
        <f>T47+U47+V47</f>
        <v>13.600000000000001</v>
      </c>
      <c r="T47" s="584">
        <v>4.6430999999999996</v>
      </c>
      <c r="U47" s="606">
        <f>13.6-T47</f>
        <v>8.956900000000001</v>
      </c>
      <c r="V47" s="603"/>
      <c r="W47" s="316"/>
      <c r="X47" s="316"/>
      <c r="Y47" s="274"/>
      <c r="Z47" s="274"/>
      <c r="AA47" s="590">
        <f>Численность!G45</f>
        <v>808</v>
      </c>
      <c r="AB47" s="594">
        <f t="shared" si="0"/>
        <v>16.831683168316832</v>
      </c>
      <c r="AC47" s="274"/>
      <c r="AD47" s="274"/>
      <c r="AE47" s="267">
        <v>2389</v>
      </c>
      <c r="AF47" s="267">
        <v>2254.1</v>
      </c>
      <c r="AG47" s="20"/>
      <c r="AH47" s="20"/>
      <c r="AI47" s="20"/>
      <c r="AJ47" s="20"/>
      <c r="AK47" s="20"/>
    </row>
    <row r="48" spans="1:37" ht="18" customHeight="1">
      <c r="A48" s="216"/>
      <c r="B48" s="216" t="s">
        <v>290</v>
      </c>
      <c r="C48" s="687"/>
      <c r="D48" s="317"/>
      <c r="E48" s="317"/>
      <c r="F48" s="317"/>
      <c r="G48" s="625">
        <v>1.0900000000000001</v>
      </c>
      <c r="H48" s="615"/>
      <c r="I48" s="615"/>
      <c r="J48" s="615"/>
      <c r="K48" s="697"/>
      <c r="L48" s="616"/>
      <c r="M48" s="616"/>
      <c r="N48" s="616"/>
      <c r="O48" s="764">
        <v>1.0900000000000001</v>
      </c>
      <c r="P48" s="317"/>
      <c r="Q48" s="317"/>
      <c r="R48" s="318"/>
      <c r="S48" s="625">
        <f>T48+U48+V48</f>
        <v>1.0900000000000001</v>
      </c>
      <c r="T48" s="584">
        <v>0.1343</v>
      </c>
      <c r="U48" s="607">
        <f>1.09-T48</f>
        <v>0.9557000000000001</v>
      </c>
      <c r="V48" s="608"/>
      <c r="W48" s="319"/>
      <c r="X48" s="319"/>
      <c r="Y48" s="278"/>
      <c r="Z48" s="278"/>
      <c r="AA48" s="590">
        <f>Численность!G46</f>
        <v>59</v>
      </c>
      <c r="AB48" s="594">
        <f t="shared" si="0"/>
        <v>18.474576271186439</v>
      </c>
      <c r="AC48" s="278"/>
      <c r="AD48" s="278"/>
      <c r="AE48" s="267">
        <v>65.7</v>
      </c>
      <c r="AF48" s="267">
        <v>68.599999999999994</v>
      </c>
      <c r="AG48" s="20"/>
      <c r="AH48" s="20"/>
      <c r="AI48" s="20"/>
      <c r="AJ48" s="20"/>
      <c r="AK48" s="20"/>
    </row>
    <row r="49" spans="1:37" ht="17.25" customHeight="1">
      <c r="A49" s="215"/>
      <c r="B49" s="216" t="s">
        <v>291</v>
      </c>
      <c r="C49" s="689"/>
      <c r="D49" s="320"/>
      <c r="E49" s="320"/>
      <c r="F49" s="320"/>
      <c r="G49" s="625">
        <v>2.6</v>
      </c>
      <c r="H49" s="617"/>
      <c r="I49" s="617"/>
      <c r="J49" s="617"/>
      <c r="K49" s="698"/>
      <c r="L49" s="617"/>
      <c r="M49" s="617"/>
      <c r="N49" s="617"/>
      <c r="O49" s="764">
        <v>2.6</v>
      </c>
      <c r="P49" s="320"/>
      <c r="Q49" s="320"/>
      <c r="R49" s="321"/>
      <c r="S49" s="625">
        <f>T49+U49+V49</f>
        <v>2.6</v>
      </c>
      <c r="T49" s="585">
        <v>1.0936999999999999</v>
      </c>
      <c r="U49" s="609">
        <f>2.6-T49</f>
        <v>1.5063000000000002</v>
      </c>
      <c r="V49" s="610"/>
      <c r="W49" s="322"/>
      <c r="X49" s="322"/>
      <c r="Y49" s="257"/>
      <c r="Z49" s="257"/>
      <c r="AA49" s="590">
        <f>Численность!G47</f>
        <v>183</v>
      </c>
      <c r="AB49" s="594">
        <f t="shared" si="0"/>
        <v>14.207650273224044</v>
      </c>
      <c r="AC49" s="257"/>
      <c r="AD49" s="257"/>
      <c r="AE49" s="558">
        <v>911.5</v>
      </c>
      <c r="AF49" s="559">
        <v>182.2</v>
      </c>
      <c r="AG49" s="20"/>
      <c r="AH49" s="20"/>
      <c r="AI49" s="20"/>
      <c r="AJ49" s="20"/>
      <c r="AK49" s="20"/>
    </row>
    <row r="50" spans="1:37" s="220" customFormat="1" ht="31.5" customHeight="1">
      <c r="A50" s="188" t="s">
        <v>292</v>
      </c>
      <c r="B50" s="188"/>
      <c r="C50" s="690"/>
      <c r="D50" s="219"/>
      <c r="E50" s="219"/>
      <c r="F50" s="219"/>
      <c r="G50" s="664">
        <v>33.5</v>
      </c>
      <c r="H50" s="664"/>
      <c r="I50" s="664"/>
      <c r="J50" s="664"/>
      <c r="K50" s="664"/>
      <c r="L50" s="664"/>
      <c r="M50" s="664"/>
      <c r="N50" s="664"/>
      <c r="O50" s="664">
        <v>33.5</v>
      </c>
      <c r="P50" s="665"/>
      <c r="Q50" s="665"/>
      <c r="R50" s="665"/>
      <c r="S50" s="515">
        <f>SUM(T50:V50)</f>
        <v>33.5</v>
      </c>
      <c r="T50" s="515">
        <f>SUM(T51:T54)</f>
        <v>2.5</v>
      </c>
      <c r="U50" s="515">
        <f>SUM(U51:U54)</f>
        <v>28.6</v>
      </c>
      <c r="V50" s="515">
        <f>SUM(V51:V54)</f>
        <v>2.4</v>
      </c>
      <c r="W50" s="496"/>
      <c r="X50" s="254"/>
      <c r="Y50" s="254"/>
      <c r="Z50" s="254"/>
      <c r="AA50" s="580">
        <f>Численность!G48</f>
        <v>1178</v>
      </c>
      <c r="AB50" s="583">
        <f t="shared" si="0"/>
        <v>28.438030560271645</v>
      </c>
      <c r="AC50" s="254"/>
      <c r="AD50" s="254"/>
      <c r="AE50" s="515">
        <f>SUM(AE51:AE54)</f>
        <v>6.7999999999999989</v>
      </c>
      <c r="AF50" s="307">
        <f>SUM(AF51:AF54)</f>
        <v>5.5</v>
      </c>
      <c r="AG50" s="157"/>
      <c r="AH50" s="157"/>
      <c r="AI50" s="157"/>
      <c r="AJ50" s="157"/>
      <c r="AK50" s="219"/>
    </row>
    <row r="51" spans="1:37" ht="14.25" customHeight="1">
      <c r="A51" s="216"/>
      <c r="B51" s="216" t="s">
        <v>293</v>
      </c>
      <c r="C51" s="691"/>
      <c r="D51" s="20"/>
      <c r="E51" s="20"/>
      <c r="F51" s="20"/>
      <c r="G51" s="666">
        <v>15.9</v>
      </c>
      <c r="H51" s="667"/>
      <c r="I51" s="667"/>
      <c r="J51" s="667"/>
      <c r="K51" s="666"/>
      <c r="L51" s="667"/>
      <c r="M51" s="667"/>
      <c r="N51" s="667"/>
      <c r="O51" s="666">
        <v>15.9</v>
      </c>
      <c r="P51" s="668"/>
      <c r="Q51" s="668"/>
      <c r="R51" s="668"/>
      <c r="S51" s="663">
        <f>SUM(T51:V51)</f>
        <v>15.9</v>
      </c>
      <c r="T51" s="514">
        <v>0.2</v>
      </c>
      <c r="U51" s="514">
        <v>14.8</v>
      </c>
      <c r="V51" s="514">
        <v>0.9</v>
      </c>
      <c r="W51" s="257"/>
      <c r="X51" s="257"/>
      <c r="Y51" s="257"/>
      <c r="Z51" s="257"/>
      <c r="AA51" s="590">
        <f>Численность!G49</f>
        <v>526</v>
      </c>
      <c r="AB51" s="594">
        <f t="shared" si="0"/>
        <v>30.228136882129277</v>
      </c>
      <c r="AC51" s="257"/>
      <c r="AD51" s="257"/>
      <c r="AE51" s="514">
        <v>2.2999999999999998</v>
      </c>
      <c r="AF51" s="298">
        <v>1.5</v>
      </c>
      <c r="AG51" s="20"/>
      <c r="AH51" s="20"/>
      <c r="AI51" s="20"/>
      <c r="AJ51" s="20"/>
      <c r="AK51" s="20"/>
    </row>
    <row r="52" spans="1:37" ht="31.5">
      <c r="A52" s="216"/>
      <c r="B52" s="216" t="s">
        <v>294</v>
      </c>
      <c r="C52" s="691"/>
      <c r="D52" s="20"/>
      <c r="E52" s="20"/>
      <c r="F52" s="20"/>
      <c r="G52" s="666">
        <v>3.2</v>
      </c>
      <c r="H52" s="667"/>
      <c r="I52" s="667"/>
      <c r="J52" s="667"/>
      <c r="K52" s="666"/>
      <c r="L52" s="667"/>
      <c r="M52" s="667"/>
      <c r="N52" s="667"/>
      <c r="O52" s="666">
        <v>3.2</v>
      </c>
      <c r="P52" s="668"/>
      <c r="Q52" s="668"/>
      <c r="R52" s="668"/>
      <c r="S52" s="663">
        <f>SUM(T52:V52)</f>
        <v>3.2</v>
      </c>
      <c r="T52" s="514">
        <v>0.2</v>
      </c>
      <c r="U52" s="514">
        <v>2.2000000000000002</v>
      </c>
      <c r="V52" s="514">
        <v>0.8</v>
      </c>
      <c r="W52" s="257"/>
      <c r="X52" s="257"/>
      <c r="Y52" s="257"/>
      <c r="Z52" s="257"/>
      <c r="AA52" s="590">
        <f>Численность!G50</f>
        <v>44</v>
      </c>
      <c r="AB52" s="594">
        <f t="shared" si="0"/>
        <v>72.727272727272734</v>
      </c>
      <c r="AC52" s="257"/>
      <c r="AD52" s="257"/>
      <c r="AE52" s="514">
        <v>1.1000000000000001</v>
      </c>
      <c r="AF52" s="298">
        <v>1</v>
      </c>
      <c r="AG52" s="20"/>
      <c r="AH52" s="20"/>
      <c r="AI52" s="20"/>
      <c r="AJ52" s="20"/>
      <c r="AK52" s="20"/>
    </row>
    <row r="53" spans="1:37">
      <c r="A53" s="216"/>
      <c r="B53" s="216" t="s">
        <v>295</v>
      </c>
      <c r="C53" s="691"/>
      <c r="D53" s="20"/>
      <c r="E53" s="20"/>
      <c r="F53" s="20"/>
      <c r="G53" s="666">
        <v>7.1000000000000005</v>
      </c>
      <c r="H53" s="667"/>
      <c r="I53" s="667"/>
      <c r="J53" s="667"/>
      <c r="K53" s="666"/>
      <c r="L53" s="667"/>
      <c r="M53" s="667"/>
      <c r="N53" s="667"/>
      <c r="O53" s="666">
        <v>7.1000000000000005</v>
      </c>
      <c r="P53" s="668"/>
      <c r="Q53" s="668"/>
      <c r="R53" s="668"/>
      <c r="S53" s="663">
        <f>SUM(T53:V53)</f>
        <v>7.1000000000000005</v>
      </c>
      <c r="T53" s="514">
        <v>2</v>
      </c>
      <c r="U53" s="514">
        <v>4.7</v>
      </c>
      <c r="V53" s="514">
        <v>0.4</v>
      </c>
      <c r="W53" s="257"/>
      <c r="X53" s="257"/>
      <c r="Y53" s="257"/>
      <c r="Z53" s="257"/>
      <c r="AA53" s="590">
        <f>Численность!G51</f>
        <v>331</v>
      </c>
      <c r="AB53" s="594">
        <f t="shared" si="0"/>
        <v>21.450151057401815</v>
      </c>
      <c r="AC53" s="257"/>
      <c r="AD53" s="257"/>
      <c r="AE53" s="514">
        <v>2.2999999999999998</v>
      </c>
      <c r="AF53" s="298">
        <v>2</v>
      </c>
      <c r="AG53" s="20"/>
      <c r="AH53" s="20"/>
      <c r="AI53" s="20"/>
      <c r="AJ53" s="20"/>
      <c r="AK53" s="20"/>
    </row>
    <row r="54" spans="1:37">
      <c r="A54" s="588"/>
      <c r="B54" s="216" t="s">
        <v>296</v>
      </c>
      <c r="C54" s="691"/>
      <c r="D54" s="20"/>
      <c r="E54" s="20"/>
      <c r="F54" s="20"/>
      <c r="G54" s="666">
        <v>7.3</v>
      </c>
      <c r="H54" s="667"/>
      <c r="I54" s="667"/>
      <c r="J54" s="667"/>
      <c r="K54" s="666"/>
      <c r="L54" s="667"/>
      <c r="M54" s="667"/>
      <c r="N54" s="667"/>
      <c r="O54" s="666">
        <v>7.3</v>
      </c>
      <c r="P54" s="668"/>
      <c r="Q54" s="668"/>
      <c r="R54" s="668"/>
      <c r="S54" s="663">
        <f>SUM(T54:V54)</f>
        <v>7.3</v>
      </c>
      <c r="T54" s="514">
        <v>0.1</v>
      </c>
      <c r="U54" s="514">
        <v>6.9</v>
      </c>
      <c r="V54" s="514">
        <v>0.3</v>
      </c>
      <c r="W54" s="257"/>
      <c r="X54" s="257"/>
      <c r="Y54" s="257"/>
      <c r="Z54" s="257"/>
      <c r="AA54" s="590">
        <f>Численность!G52</f>
        <v>277</v>
      </c>
      <c r="AB54" s="594">
        <f t="shared" si="0"/>
        <v>26.353790613718413</v>
      </c>
      <c r="AC54" s="257"/>
      <c r="AD54" s="257"/>
      <c r="AE54" s="514">
        <v>1.1000000000000001</v>
      </c>
      <c r="AF54" s="298">
        <v>1</v>
      </c>
      <c r="AG54" s="20"/>
      <c r="AH54" s="20"/>
      <c r="AI54" s="20"/>
      <c r="AJ54" s="20"/>
      <c r="AK54" s="20"/>
    </row>
    <row r="55" spans="1:37" s="618" customFormat="1" ht="22.5" customHeight="1">
      <c r="A55" s="620" t="s">
        <v>78</v>
      </c>
      <c r="B55" s="620"/>
      <c r="C55" s="692">
        <f>C5+C7+C12+C15+C19+C22+C25+C29+C35+C41+C46+C50</f>
        <v>1320</v>
      </c>
      <c r="D55" s="621"/>
      <c r="E55" s="621"/>
      <c r="F55" s="621"/>
      <c r="G55" s="669">
        <f>G5+G7+G12+G15+G19+G22+G25+G29+G35+G41+G46+G50</f>
        <v>380.28599999999994</v>
      </c>
      <c r="H55" s="669">
        <f t="shared" ref="H55:U55" si="31">H5+H7+H12+H15+H19+H22+H25+H29+H35+H41+H46+H50</f>
        <v>12.061</v>
      </c>
      <c r="I55" s="669">
        <f t="shared" si="31"/>
        <v>56.436000000000007</v>
      </c>
      <c r="J55" s="669">
        <f t="shared" si="31"/>
        <v>0</v>
      </c>
      <c r="K55" s="692">
        <f>K5+K7+K12+K15+K19+K22+K25+K29+K35+K41+K46+K50</f>
        <v>1320</v>
      </c>
      <c r="L55" s="765">
        <f t="shared" si="31"/>
        <v>1314</v>
      </c>
      <c r="M55" s="765">
        <f t="shared" si="31"/>
        <v>6</v>
      </c>
      <c r="N55" s="765">
        <f t="shared" si="31"/>
        <v>0</v>
      </c>
      <c r="O55" s="669">
        <f t="shared" si="31"/>
        <v>380.28599999999994</v>
      </c>
      <c r="P55" s="669">
        <f t="shared" si="31"/>
        <v>221.309</v>
      </c>
      <c r="Q55" s="669">
        <f t="shared" si="31"/>
        <v>6.1879999999999997</v>
      </c>
      <c r="R55" s="669">
        <f t="shared" si="31"/>
        <v>0</v>
      </c>
      <c r="S55" s="669">
        <f t="shared" si="31"/>
        <v>380.28899999999999</v>
      </c>
      <c r="T55" s="669">
        <f>T5+T7+T12+T15+T19+T22+T25+T29+T35+T41+T46+T50</f>
        <v>50.439100000000003</v>
      </c>
      <c r="U55" s="669">
        <f t="shared" si="31"/>
        <v>324.35990000000004</v>
      </c>
      <c r="V55" s="669">
        <f>V5+V7+V12+V15+V19+V22+V25+V29+V35+V41+V46+V50</f>
        <v>5.49</v>
      </c>
      <c r="W55" s="669">
        <f>W5+W7+W12+W15+W19+W22+W25+W29+W35+W41+W46+W50</f>
        <v>0</v>
      </c>
      <c r="X55" s="669">
        <f t="shared" ref="X55:AF55" si="32">X5+X7+X12+X15+X19+X22+X25+X29+X35+X41+X46+X50</f>
        <v>0</v>
      </c>
      <c r="Y55" s="669">
        <f t="shared" si="32"/>
        <v>0</v>
      </c>
      <c r="Z55" s="669">
        <f t="shared" si="32"/>
        <v>0</v>
      </c>
      <c r="AA55" s="670">
        <f t="shared" si="32"/>
        <v>18951</v>
      </c>
      <c r="AB55" s="682">
        <f t="shared" si="0"/>
        <v>20.066962165584929</v>
      </c>
      <c r="AC55" s="669">
        <f t="shared" si="32"/>
        <v>0</v>
      </c>
      <c r="AD55" s="669">
        <f t="shared" si="32"/>
        <v>48</v>
      </c>
      <c r="AE55" s="669">
        <f t="shared" si="32"/>
        <v>4244.9440000000004</v>
      </c>
      <c r="AF55" s="669">
        <f t="shared" si="32"/>
        <v>2517.4809999999998</v>
      </c>
      <c r="AG55" s="619">
        <f>AG5+AG7+AG12+AG15+AG19+AG22+AG25+AG29+AG35+AG41+AG46+AG50</f>
        <v>0</v>
      </c>
      <c r="AH55" s="619">
        <f>AH5+AH7+AH12+AH15+AH19+AH22+AH25+AH29+AH35+AH41+AH46+AH50</f>
        <v>0</v>
      </c>
      <c r="AI55" s="619">
        <f>AI5+AI7+AI12+AI15+AI19+AI22+AI25+AI29+AI35+AI41+AI46+AI50</f>
        <v>0</v>
      </c>
      <c r="AJ55" s="619">
        <f>AJ5+AJ7+AJ12+AJ15+AJ19+AJ22+AJ25+AJ29+AJ35+AJ41+AJ46+AJ50</f>
        <v>0</v>
      </c>
      <c r="AK55" s="619">
        <f>AK5+AK7+AK12+AK15+AK19+AK22+AK25+AK29+AK35+AK41+AK46+AK50</f>
        <v>0</v>
      </c>
    </row>
    <row r="56" spans="1:37">
      <c r="G56" s="5"/>
      <c r="H56" s="5"/>
      <c r="I56" s="5"/>
      <c r="J56" s="5"/>
      <c r="O56" s="5"/>
      <c r="P56" s="5"/>
      <c r="Q56" s="5"/>
      <c r="R56" s="5"/>
      <c r="S56" s="289"/>
      <c r="T56" s="575"/>
      <c r="W56" s="289"/>
      <c r="X56" s="289"/>
      <c r="Y56" s="289"/>
      <c r="Z56" s="289"/>
      <c r="AA56" s="581"/>
      <c r="AC56" s="289"/>
      <c r="AD56" s="289"/>
      <c r="AE56" s="516"/>
      <c r="AF56" s="289"/>
    </row>
    <row r="57" spans="1:37">
      <c r="G57" s="5"/>
      <c r="H57" s="784">
        <f>H55+I55+J55</f>
        <v>68.497000000000014</v>
      </c>
      <c r="I57" s="5"/>
      <c r="J57" s="5"/>
      <c r="O57" s="5"/>
      <c r="P57" s="784">
        <f>P55+Q55+R55</f>
        <v>227.49699999999999</v>
      </c>
      <c r="Q57" s="5"/>
      <c r="R57" s="5"/>
      <c r="S57" s="289"/>
      <c r="T57" s="575">
        <f>T55+U55+V55</f>
        <v>380.28900000000004</v>
      </c>
      <c r="W57" s="289"/>
      <c r="X57" s="289"/>
      <c r="Y57" s="289"/>
      <c r="Z57" s="289"/>
      <c r="AA57" s="581"/>
      <c r="AC57" s="289"/>
      <c r="AD57" s="289"/>
      <c r="AE57" s="516"/>
      <c r="AF57" s="289"/>
    </row>
    <row r="58" spans="1:37">
      <c r="B58" s="106" t="s">
        <v>386</v>
      </c>
      <c r="G58" s="5"/>
      <c r="H58" s="5"/>
      <c r="I58" s="5"/>
      <c r="J58" s="5"/>
      <c r="O58" s="5"/>
      <c r="P58" s="5"/>
      <c r="Q58" s="5"/>
      <c r="R58" s="5"/>
      <c r="S58" s="289"/>
      <c r="T58" s="575">
        <f>S55-T57</f>
        <v>0</v>
      </c>
      <c r="W58" s="289"/>
      <c r="X58" s="289"/>
      <c r="Y58" s="289"/>
      <c r="Z58" s="289"/>
      <c r="AA58" s="581"/>
      <c r="AC58" s="289"/>
      <c r="AD58" s="289"/>
      <c r="AE58" s="516"/>
      <c r="AF58" s="289"/>
    </row>
    <row r="59" spans="1:37">
      <c r="A59" s="331"/>
      <c r="B59" s="1266" t="s">
        <v>367</v>
      </c>
      <c r="C59" s="1266"/>
      <c r="D59" s="1266"/>
      <c r="E59" s="1266"/>
      <c r="F59" s="1266"/>
      <c r="G59" s="1266"/>
      <c r="H59" s="1266"/>
      <c r="I59" s="1266"/>
      <c r="J59" s="1266"/>
      <c r="K59" s="1266"/>
      <c r="L59" s="1266"/>
      <c r="M59" s="1266"/>
      <c r="N59" s="1266"/>
      <c r="O59" s="1266"/>
      <c r="P59" s="1266"/>
      <c r="Q59" s="1266"/>
      <c r="R59" s="1266"/>
      <c r="S59" s="1266"/>
      <c r="T59" s="1266"/>
      <c r="U59" s="1266"/>
      <c r="V59" s="1267" t="s">
        <v>368</v>
      </c>
      <c r="W59" s="1268"/>
      <c r="X59" s="1268"/>
      <c r="Y59" s="1268"/>
      <c r="Z59" s="1268"/>
      <c r="AA59" s="1269" t="s">
        <v>381</v>
      </c>
      <c r="AB59" s="1270"/>
      <c r="AC59" s="1270"/>
      <c r="AD59" s="1271"/>
      <c r="AE59" s="516"/>
      <c r="AF59" s="289"/>
    </row>
    <row r="60" spans="1:37">
      <c r="A60" s="331"/>
      <c r="B60" s="457" t="s">
        <v>369</v>
      </c>
      <c r="C60" s="694" t="s">
        <v>370</v>
      </c>
      <c r="D60" s="298"/>
      <c r="E60" s="331" t="s">
        <v>370</v>
      </c>
      <c r="F60" s="257" t="s">
        <v>371</v>
      </c>
      <c r="G60" s="257" t="s">
        <v>372</v>
      </c>
      <c r="H60" s="257" t="s">
        <v>373</v>
      </c>
      <c r="I60" s="257" t="s">
        <v>374</v>
      </c>
      <c r="J60" s="257" t="s">
        <v>375</v>
      </c>
      <c r="K60" s="261" t="s">
        <v>376</v>
      </c>
      <c r="L60" s="458" t="s">
        <v>377</v>
      </c>
      <c r="M60" s="298" t="s">
        <v>382</v>
      </c>
      <c r="N60" s="257" t="s">
        <v>383</v>
      </c>
      <c r="O60" s="257" t="s">
        <v>384</v>
      </c>
      <c r="P60" s="257" t="s">
        <v>385</v>
      </c>
      <c r="Q60" s="516"/>
      <c r="R60" s="289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</row>
    <row r="61" spans="1:37">
      <c r="A61" s="331" t="s">
        <v>378</v>
      </c>
      <c r="B61" s="457">
        <v>8.8000000000000007</v>
      </c>
      <c r="C61" s="694"/>
      <c r="D61" s="298"/>
      <c r="E61" s="331">
        <v>56.7</v>
      </c>
      <c r="F61" s="257">
        <v>24</v>
      </c>
      <c r="G61" s="257">
        <v>100.9</v>
      </c>
      <c r="H61" s="257">
        <v>14.6</v>
      </c>
      <c r="I61" s="257">
        <v>14.9</v>
      </c>
      <c r="J61" s="257">
        <v>75.5</v>
      </c>
      <c r="K61" s="261">
        <v>54.6</v>
      </c>
      <c r="L61" s="458">
        <v>30.8</v>
      </c>
      <c r="M61" s="298">
        <v>77</v>
      </c>
      <c r="N61" s="257">
        <v>80.400000000000006</v>
      </c>
      <c r="O61" s="257">
        <v>33</v>
      </c>
      <c r="P61" s="257">
        <v>0</v>
      </c>
      <c r="Q61" s="516"/>
      <c r="R61" s="289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</row>
    <row r="62" spans="1:37">
      <c r="A62" s="331" t="s">
        <v>379</v>
      </c>
      <c r="B62" s="457">
        <v>8</v>
      </c>
      <c r="C62" s="694"/>
      <c r="D62" s="298"/>
      <c r="E62" s="331">
        <v>70</v>
      </c>
      <c r="F62" s="257">
        <v>62</v>
      </c>
      <c r="G62" s="257">
        <v>2360</v>
      </c>
      <c r="H62" s="257">
        <v>421</v>
      </c>
      <c r="I62" s="257">
        <v>283</v>
      </c>
      <c r="J62" s="257">
        <v>1006</v>
      </c>
      <c r="K62" s="261">
        <v>572</v>
      </c>
      <c r="L62" s="458">
        <v>218</v>
      </c>
      <c r="M62" s="298">
        <v>1258</v>
      </c>
      <c r="N62" s="257">
        <v>407</v>
      </c>
      <c r="O62" s="257">
        <v>835</v>
      </c>
      <c r="P62" s="257">
        <v>90</v>
      </c>
      <c r="Q62" s="516"/>
      <c r="R62" s="289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</row>
    <row r="63" spans="1:37">
      <c r="A63" s="331" t="s">
        <v>380</v>
      </c>
      <c r="B63" s="457">
        <v>3</v>
      </c>
      <c r="C63" s="694"/>
      <c r="D63" s="298"/>
      <c r="E63" s="331">
        <v>350</v>
      </c>
      <c r="F63" s="257">
        <v>119</v>
      </c>
      <c r="G63" s="257">
        <v>111</v>
      </c>
      <c r="H63" s="257">
        <v>289</v>
      </c>
      <c r="I63" s="257">
        <v>7</v>
      </c>
      <c r="J63" s="257">
        <v>67</v>
      </c>
      <c r="K63" s="261">
        <v>188</v>
      </c>
      <c r="L63" s="458">
        <v>32</v>
      </c>
      <c r="M63" s="298">
        <v>65</v>
      </c>
      <c r="N63" s="257">
        <v>317</v>
      </c>
      <c r="O63" s="257">
        <v>201</v>
      </c>
      <c r="P63" s="257">
        <v>9</v>
      </c>
      <c r="Q63" s="516"/>
      <c r="R63" s="289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</row>
    <row r="64" spans="1:37">
      <c r="A64" s="289"/>
      <c r="B64" s="289"/>
      <c r="C64" s="626"/>
      <c r="D64" s="289"/>
      <c r="E64" s="289"/>
      <c r="F64" s="289"/>
      <c r="G64" s="5"/>
      <c r="H64" s="5"/>
      <c r="I64" s="5"/>
      <c r="J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82"/>
      <c r="AB64" s="5"/>
      <c r="AC64" s="5"/>
      <c r="AD64" s="5"/>
      <c r="AE64" s="517"/>
      <c r="AF64" s="5"/>
    </row>
    <row r="65" spans="1:32">
      <c r="A65" s="289"/>
      <c r="B65" s="459" t="s">
        <v>387</v>
      </c>
      <c r="C65" s="626"/>
      <c r="D65" s="289"/>
      <c r="E65" s="289"/>
      <c r="F65" s="289"/>
      <c r="G65" s="5"/>
      <c r="H65" s="5"/>
      <c r="I65" s="5"/>
      <c r="J65" s="5"/>
      <c r="O65" s="5"/>
      <c r="P65" s="5"/>
      <c r="Q65" s="5"/>
      <c r="R65" s="5"/>
      <c r="S65" s="5"/>
      <c r="T65" s="5"/>
      <c r="U65" s="5">
        <f>B61+E61+F61+G61</f>
        <v>190.4</v>
      </c>
      <c r="V65" s="62">
        <f>H61+I61+J61+K61+L61+AA6</f>
        <v>8075.4</v>
      </c>
      <c r="W65" s="5"/>
      <c r="X65" s="5"/>
      <c r="Y65" s="5"/>
      <c r="Z65" s="5"/>
      <c r="AA65" s="582"/>
      <c r="AB65" s="5"/>
      <c r="AC65" s="5"/>
      <c r="AD65" s="5"/>
      <c r="AE65" s="517"/>
      <c r="AF65" s="5"/>
    </row>
    <row r="66" spans="1:32">
      <c r="A66" s="289"/>
      <c r="B66" s="459" t="s">
        <v>397</v>
      </c>
      <c r="C66" s="626"/>
      <c r="D66" s="289"/>
      <c r="E66" s="289"/>
      <c r="F66" s="289"/>
      <c r="G66" s="5"/>
      <c r="H66" s="5"/>
      <c r="I66" s="5"/>
      <c r="J66" s="5"/>
      <c r="O66" s="5"/>
      <c r="P66" s="5"/>
      <c r="Q66" s="5"/>
      <c r="R66" s="5"/>
      <c r="S66" s="5" t="s">
        <v>398</v>
      </c>
      <c r="T66" s="5"/>
      <c r="U66" s="5">
        <f>B62+E62+F62+G62</f>
        <v>2500</v>
      </c>
      <c r="V66" s="5">
        <f>H62+I62+J62+K62+L62</f>
        <v>2500</v>
      </c>
      <c r="W66" s="5"/>
      <c r="X66" s="5"/>
      <c r="Y66" s="5"/>
      <c r="Z66" s="5"/>
      <c r="AA66" s="582"/>
      <c r="AB66" s="5"/>
      <c r="AC66" s="5"/>
      <c r="AD66" s="5"/>
      <c r="AE66" s="517"/>
      <c r="AF66" s="5"/>
    </row>
    <row r="67" spans="1:32">
      <c r="A67" s="257" t="s">
        <v>388</v>
      </c>
      <c r="B67" s="298">
        <v>33</v>
      </c>
      <c r="C67" s="346">
        <v>3</v>
      </c>
      <c r="E67" s="5">
        <f>B63+E63+F63+G63</f>
        <v>583</v>
      </c>
      <c r="F67" s="5">
        <f>H63+I63+J63+K63+L63</f>
        <v>583</v>
      </c>
      <c r="G67" s="5"/>
      <c r="H67" s="5"/>
      <c r="I67" s="5"/>
      <c r="J67" s="5"/>
      <c r="K67" s="699"/>
      <c r="O67" s="517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</row>
    <row r="68" spans="1:32">
      <c r="A68" s="257" t="s">
        <v>389</v>
      </c>
      <c r="B68" s="298"/>
      <c r="C68" s="346"/>
      <c r="G68" s="5"/>
      <c r="H68" s="5"/>
      <c r="I68" s="5"/>
      <c r="J68" s="5"/>
      <c r="K68" s="699"/>
      <c r="O68" s="517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</row>
    <row r="69" spans="1:32">
      <c r="A69" s="257" t="s">
        <v>390</v>
      </c>
      <c r="B69" s="298">
        <v>27.1</v>
      </c>
      <c r="C69" s="346">
        <v>2.7</v>
      </c>
      <c r="G69" s="5"/>
      <c r="H69" s="5"/>
      <c r="I69" s="5"/>
      <c r="J69" s="5"/>
      <c r="K69" s="699"/>
      <c r="O69" s="517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</row>
    <row r="70" spans="1:32">
      <c r="A70" s="457" t="s">
        <v>391</v>
      </c>
      <c r="B70" s="298">
        <v>5.9</v>
      </c>
      <c r="C70" s="346">
        <v>0.3</v>
      </c>
      <c r="G70" s="5"/>
      <c r="H70" s="5"/>
      <c r="I70" s="5"/>
      <c r="J70" s="5"/>
      <c r="K70" s="699"/>
      <c r="O70" s="517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</row>
    <row r="71" spans="1:32">
      <c r="A71" s="457" t="s">
        <v>392</v>
      </c>
      <c r="B71" s="579"/>
      <c r="C71" s="340"/>
      <c r="D71" s="289"/>
      <c r="E71" s="289"/>
      <c r="F71" s="289"/>
      <c r="G71" s="289"/>
      <c r="H71" s="289"/>
      <c r="I71" s="289"/>
      <c r="J71" s="289"/>
      <c r="K71" s="635"/>
      <c r="L71" s="289"/>
      <c r="M71" s="289"/>
      <c r="N71" s="289"/>
      <c r="O71" s="516"/>
      <c r="P71" s="289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</row>
    <row r="72" spans="1:32">
      <c r="A72" s="457" t="s">
        <v>393</v>
      </c>
      <c r="B72" s="579">
        <v>835</v>
      </c>
      <c r="C72" s="340">
        <v>90</v>
      </c>
      <c r="D72" s="289"/>
      <c r="E72" s="289"/>
      <c r="F72" s="289"/>
      <c r="G72" s="289"/>
      <c r="H72" s="289"/>
      <c r="I72" s="289"/>
      <c r="J72" s="289"/>
      <c r="K72" s="635"/>
      <c r="L72" s="289"/>
      <c r="M72" s="289"/>
      <c r="N72" s="289"/>
      <c r="O72" s="516"/>
      <c r="P72" s="289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</row>
    <row r="73" spans="1:32">
      <c r="A73" s="457" t="s">
        <v>394</v>
      </c>
      <c r="B73" s="579">
        <v>201</v>
      </c>
      <c r="C73" s="340">
        <v>9</v>
      </c>
      <c r="D73" s="289"/>
      <c r="E73" s="289"/>
      <c r="F73" s="289"/>
      <c r="G73" s="289"/>
      <c r="H73" s="289"/>
      <c r="I73" s="289"/>
      <c r="J73" s="289"/>
      <c r="K73" s="635"/>
      <c r="L73" s="289"/>
      <c r="M73" s="289"/>
      <c r="N73" s="289"/>
      <c r="O73" s="516"/>
      <c r="P73" s="289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</row>
    <row r="74" spans="1:32">
      <c r="A74" s="457" t="s">
        <v>395</v>
      </c>
      <c r="B74" s="579">
        <v>2</v>
      </c>
      <c r="C74" s="340">
        <v>0.2</v>
      </c>
      <c r="D74" s="289"/>
      <c r="E74" s="289"/>
      <c r="F74" s="289"/>
      <c r="G74" s="289"/>
      <c r="H74" s="289"/>
      <c r="I74" s="289"/>
      <c r="J74" s="289"/>
      <c r="K74" s="635"/>
      <c r="L74" s="289"/>
      <c r="M74" s="289"/>
      <c r="N74" s="289"/>
      <c r="O74" s="516"/>
      <c r="P74" s="289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</row>
    <row r="75" spans="1:32">
      <c r="A75" s="457" t="s">
        <v>396</v>
      </c>
      <c r="B75" s="579"/>
      <c r="C75" s="340"/>
      <c r="D75" s="289"/>
      <c r="E75" s="289"/>
      <c r="F75" s="289"/>
      <c r="G75" s="289"/>
      <c r="H75" s="289"/>
      <c r="I75" s="289"/>
      <c r="J75" s="289"/>
      <c r="K75" s="635"/>
      <c r="L75" s="289"/>
      <c r="M75" s="289"/>
      <c r="N75" s="289"/>
      <c r="O75" s="516"/>
      <c r="P75" s="289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</row>
    <row r="76" spans="1:32">
      <c r="A76" s="457" t="s">
        <v>391</v>
      </c>
      <c r="B76" s="579">
        <v>0.02</v>
      </c>
      <c r="C76" s="340">
        <v>0.02</v>
      </c>
      <c r="D76" s="289"/>
      <c r="E76" s="289"/>
      <c r="F76" s="289"/>
      <c r="G76" s="289"/>
      <c r="H76" s="289"/>
      <c r="I76" s="289"/>
      <c r="J76" s="289"/>
      <c r="K76" s="635"/>
      <c r="L76" s="289"/>
      <c r="M76" s="289"/>
      <c r="N76" s="289"/>
      <c r="O76" s="516"/>
      <c r="P76" s="289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</row>
    <row r="77" spans="1:32">
      <c r="G77" s="5"/>
      <c r="H77" s="5"/>
      <c r="I77" s="5"/>
      <c r="J77" s="5"/>
      <c r="O77" s="5"/>
      <c r="P77" s="5"/>
      <c r="Q77" s="5"/>
      <c r="R77" s="5"/>
      <c r="S77" s="289"/>
      <c r="W77" s="289"/>
      <c r="X77" s="289"/>
      <c r="Y77" s="289"/>
      <c r="Z77" s="289"/>
      <c r="AA77" s="581"/>
      <c r="AC77" s="289"/>
      <c r="AD77" s="289"/>
      <c r="AE77" s="516"/>
      <c r="AF77" s="289"/>
    </row>
    <row r="78" spans="1:32">
      <c r="A78" s="106" t="s">
        <v>399</v>
      </c>
      <c r="G78" s="5"/>
      <c r="H78" s="5"/>
      <c r="I78" s="5"/>
      <c r="J78" s="5"/>
      <c r="O78" s="5"/>
      <c r="P78" s="5"/>
      <c r="Q78" s="5"/>
      <c r="R78" s="5"/>
      <c r="S78" s="289"/>
      <c r="W78" s="289"/>
      <c r="X78" s="289"/>
      <c r="Y78" s="289"/>
      <c r="Z78" s="289"/>
      <c r="AA78" s="581"/>
      <c r="AC78" s="289"/>
      <c r="AD78" s="289"/>
      <c r="AE78" s="516"/>
      <c r="AF78" s="289"/>
    </row>
    <row r="79" spans="1:32">
      <c r="A79" s="106" t="s">
        <v>400</v>
      </c>
      <c r="G79" s="5"/>
      <c r="H79" s="5"/>
      <c r="I79" s="5"/>
      <c r="J79" s="5"/>
      <c r="O79" s="5"/>
      <c r="P79" s="5"/>
      <c r="Q79" s="5"/>
      <c r="R79" s="5"/>
      <c r="S79" s="289"/>
      <c r="W79" s="289"/>
      <c r="X79" s="289"/>
      <c r="Y79" s="289"/>
      <c r="Z79" s="289"/>
      <c r="AA79" s="581"/>
      <c r="AC79" s="289"/>
      <c r="AD79" s="289"/>
      <c r="AE79" s="516"/>
      <c r="AF79" s="289"/>
    </row>
    <row r="80" spans="1:32">
      <c r="G80" s="5"/>
      <c r="H80" s="5"/>
      <c r="I80" s="5"/>
      <c r="J80" s="5"/>
      <c r="O80" s="5"/>
      <c r="P80" s="5"/>
      <c r="Q80" s="5"/>
      <c r="R80" s="5"/>
      <c r="S80" s="289"/>
      <c r="W80" s="289"/>
      <c r="X80" s="289"/>
      <c r="Y80" s="289"/>
      <c r="Z80" s="289"/>
      <c r="AA80" s="581"/>
      <c r="AC80" s="289"/>
      <c r="AD80" s="289"/>
      <c r="AE80" s="516"/>
      <c r="AF80" s="289"/>
    </row>
    <row r="81" spans="7:32">
      <c r="G81" s="5"/>
      <c r="H81" s="5"/>
      <c r="I81" s="5"/>
      <c r="J81" s="5"/>
      <c r="O81" s="5"/>
      <c r="P81" s="5"/>
      <c r="Q81" s="5"/>
      <c r="R81" s="5"/>
      <c r="S81" s="289"/>
      <c r="W81" s="289"/>
      <c r="X81" s="289"/>
      <c r="Y81" s="289"/>
      <c r="Z81" s="289"/>
      <c r="AA81" s="581"/>
      <c r="AC81" s="289"/>
      <c r="AD81" s="289"/>
      <c r="AE81" s="516"/>
      <c r="AF81" s="289"/>
    </row>
    <row r="82" spans="7:32">
      <c r="G82" s="5"/>
      <c r="H82" s="5"/>
      <c r="I82" s="5"/>
      <c r="J82" s="5"/>
      <c r="O82" s="5"/>
      <c r="P82" s="5"/>
      <c r="Q82" s="5"/>
      <c r="R82" s="5"/>
      <c r="S82" s="289"/>
      <c r="W82" s="289"/>
      <c r="X82" s="289"/>
      <c r="Y82" s="289"/>
      <c r="Z82" s="289"/>
      <c r="AA82" s="581"/>
      <c r="AC82" s="289"/>
      <c r="AD82" s="289"/>
      <c r="AE82" s="516"/>
      <c r="AF82" s="289"/>
    </row>
    <row r="83" spans="7:32">
      <c r="G83" s="5"/>
      <c r="H83" s="5"/>
      <c r="I83" s="5"/>
      <c r="J83" s="5"/>
      <c r="O83" s="5"/>
      <c r="P83" s="5"/>
      <c r="Q83" s="5"/>
      <c r="R83" s="5"/>
      <c r="S83" s="289"/>
      <c r="W83" s="289"/>
      <c r="X83" s="289"/>
      <c r="Y83" s="289"/>
      <c r="Z83" s="289"/>
      <c r="AA83" s="581"/>
      <c r="AC83" s="289"/>
      <c r="AD83" s="289"/>
      <c r="AE83" s="516"/>
      <c r="AF83" s="289"/>
    </row>
    <row r="84" spans="7:32">
      <c r="G84" s="5"/>
      <c r="H84" s="5"/>
      <c r="I84" s="5"/>
      <c r="J84" s="5"/>
      <c r="O84" s="5"/>
      <c r="P84" s="5"/>
      <c r="Q84" s="5"/>
      <c r="R84" s="5"/>
      <c r="S84" s="289"/>
      <c r="W84" s="289"/>
      <c r="X84" s="289"/>
      <c r="Y84" s="289"/>
      <c r="Z84" s="289"/>
      <c r="AA84" s="581"/>
      <c r="AC84" s="289"/>
      <c r="AD84" s="289"/>
      <c r="AE84" s="516"/>
      <c r="AF84" s="289"/>
    </row>
    <row r="85" spans="7:32">
      <c r="G85" s="5"/>
      <c r="H85" s="5"/>
      <c r="I85" s="5"/>
      <c r="J85" s="5"/>
      <c r="O85" s="5"/>
      <c r="P85" s="5"/>
      <c r="Q85" s="5"/>
      <c r="R85" s="5"/>
      <c r="S85" s="289"/>
      <c r="W85" s="289"/>
      <c r="X85" s="289"/>
      <c r="Y85" s="289"/>
      <c r="Z85" s="289"/>
      <c r="AA85" s="581"/>
      <c r="AC85" s="289"/>
      <c r="AD85" s="289"/>
      <c r="AE85" s="516"/>
      <c r="AF85" s="289"/>
    </row>
    <row r="86" spans="7:32">
      <c r="G86" s="5"/>
      <c r="H86" s="5"/>
      <c r="I86" s="5"/>
      <c r="J86" s="5"/>
      <c r="O86" s="5"/>
      <c r="P86" s="5"/>
      <c r="Q86" s="5"/>
      <c r="R86" s="5"/>
      <c r="S86" s="289"/>
      <c r="W86" s="289"/>
      <c r="X86" s="289"/>
      <c r="Y86" s="289"/>
      <c r="Z86" s="289"/>
      <c r="AA86" s="581"/>
      <c r="AC86" s="289"/>
      <c r="AD86" s="289"/>
      <c r="AE86" s="516"/>
      <c r="AF86" s="289"/>
    </row>
    <row r="87" spans="7:32">
      <c r="G87" s="5"/>
      <c r="H87" s="5"/>
      <c r="I87" s="5"/>
      <c r="J87" s="5"/>
      <c r="O87" s="5"/>
      <c r="P87" s="5"/>
      <c r="Q87" s="5"/>
      <c r="R87" s="5"/>
      <c r="S87" s="289"/>
      <c r="W87" s="289"/>
      <c r="X87" s="289"/>
      <c r="Y87" s="289"/>
      <c r="Z87" s="289"/>
      <c r="AA87" s="581"/>
      <c r="AC87" s="289"/>
      <c r="AD87" s="289"/>
      <c r="AE87" s="516"/>
      <c r="AF87" s="289"/>
    </row>
    <row r="88" spans="7:32">
      <c r="G88" s="5"/>
      <c r="H88" s="5"/>
      <c r="I88" s="5"/>
      <c r="J88" s="5"/>
      <c r="O88" s="5"/>
      <c r="P88" s="5"/>
      <c r="Q88" s="5"/>
      <c r="R88" s="5"/>
      <c r="S88" s="289"/>
      <c r="W88" s="289"/>
      <c r="X88" s="289"/>
      <c r="Y88" s="289"/>
      <c r="Z88" s="289"/>
      <c r="AA88" s="581"/>
      <c r="AC88" s="289"/>
      <c r="AD88" s="289"/>
      <c r="AE88" s="516"/>
      <c r="AF88" s="289"/>
    </row>
    <row r="89" spans="7:32">
      <c r="G89" s="5"/>
      <c r="H89" s="5"/>
      <c r="I89" s="5"/>
      <c r="J89" s="5"/>
      <c r="O89" s="5"/>
      <c r="P89" s="5"/>
      <c r="Q89" s="5"/>
      <c r="R89" s="5"/>
      <c r="S89" s="289"/>
      <c r="W89" s="289"/>
      <c r="X89" s="289"/>
      <c r="Y89" s="289"/>
      <c r="Z89" s="289"/>
      <c r="AA89" s="581"/>
      <c r="AC89" s="289"/>
      <c r="AD89" s="289"/>
      <c r="AE89" s="516"/>
      <c r="AF89" s="289"/>
    </row>
    <row r="90" spans="7:32">
      <c r="G90" s="5"/>
      <c r="H90" s="5"/>
      <c r="I90" s="5"/>
      <c r="J90" s="5"/>
      <c r="O90" s="5"/>
      <c r="P90" s="5"/>
      <c r="Q90" s="5"/>
      <c r="R90" s="5"/>
      <c r="S90" s="289"/>
      <c r="W90" s="289"/>
      <c r="X90" s="289"/>
      <c r="Y90" s="289"/>
      <c r="Z90" s="289"/>
      <c r="AA90" s="581"/>
      <c r="AC90" s="289"/>
      <c r="AD90" s="289"/>
      <c r="AE90" s="516"/>
      <c r="AF90" s="289"/>
    </row>
    <row r="91" spans="7:32">
      <c r="G91" s="5"/>
      <c r="H91" s="5"/>
      <c r="I91" s="5"/>
      <c r="J91" s="5"/>
      <c r="O91" s="5"/>
      <c r="P91" s="5"/>
      <c r="Q91" s="5"/>
      <c r="R91" s="5"/>
      <c r="S91" s="289"/>
      <c r="W91" s="289"/>
      <c r="X91" s="289"/>
      <c r="Y91" s="289"/>
      <c r="Z91" s="289"/>
      <c r="AA91" s="581"/>
      <c r="AC91" s="289"/>
      <c r="AD91" s="289"/>
      <c r="AE91" s="516"/>
      <c r="AF91" s="289"/>
    </row>
    <row r="92" spans="7:32">
      <c r="G92" s="5"/>
      <c r="H92" s="5"/>
      <c r="I92" s="5"/>
      <c r="J92" s="5"/>
      <c r="O92" s="5"/>
      <c r="P92" s="5"/>
      <c r="Q92" s="5"/>
      <c r="R92" s="5"/>
      <c r="S92" s="289"/>
      <c r="W92" s="289"/>
      <c r="X92" s="289"/>
      <c r="Y92" s="289"/>
      <c r="Z92" s="289"/>
      <c r="AA92" s="581"/>
      <c r="AC92" s="289"/>
      <c r="AD92" s="289"/>
      <c r="AE92" s="516"/>
      <c r="AF92" s="289"/>
    </row>
    <row r="93" spans="7:32">
      <c r="G93" s="5"/>
      <c r="H93" s="5"/>
      <c r="I93" s="5"/>
      <c r="J93" s="5"/>
      <c r="O93" s="5"/>
      <c r="P93" s="5"/>
      <c r="Q93" s="5"/>
      <c r="R93" s="5"/>
      <c r="S93" s="289"/>
      <c r="W93" s="289"/>
      <c r="X93" s="289"/>
      <c r="Y93" s="289"/>
      <c r="Z93" s="289"/>
      <c r="AA93" s="581"/>
      <c r="AC93" s="289"/>
      <c r="AD93" s="289"/>
      <c r="AE93" s="516"/>
      <c r="AF93" s="289"/>
    </row>
    <row r="94" spans="7:32">
      <c r="G94" s="5"/>
      <c r="H94" s="5"/>
      <c r="I94" s="5"/>
      <c r="J94" s="5"/>
      <c r="O94" s="5"/>
      <c r="P94" s="5"/>
      <c r="Q94" s="5"/>
      <c r="R94" s="5"/>
      <c r="S94" s="289"/>
      <c r="W94" s="289"/>
      <c r="X94" s="289"/>
      <c r="Y94" s="289"/>
      <c r="Z94" s="289"/>
      <c r="AA94" s="581"/>
      <c r="AC94" s="289"/>
      <c r="AD94" s="289"/>
      <c r="AE94" s="516"/>
      <c r="AF94" s="289"/>
    </row>
    <row r="95" spans="7:32">
      <c r="G95" s="5"/>
      <c r="H95" s="5"/>
      <c r="I95" s="5"/>
      <c r="J95" s="5"/>
      <c r="O95" s="5"/>
      <c r="P95" s="5"/>
      <c r="Q95" s="5"/>
      <c r="R95" s="5"/>
      <c r="S95" s="289"/>
      <c r="W95" s="289"/>
      <c r="X95" s="289"/>
      <c r="Y95" s="289"/>
      <c r="Z95" s="289"/>
      <c r="AA95" s="581"/>
      <c r="AC95" s="289"/>
      <c r="AD95" s="289"/>
      <c r="AE95" s="516"/>
      <c r="AF95" s="289"/>
    </row>
    <row r="96" spans="7:32">
      <c r="G96" s="5"/>
      <c r="H96" s="5"/>
      <c r="I96" s="5"/>
      <c r="J96" s="5"/>
      <c r="O96" s="5"/>
      <c r="P96" s="5"/>
      <c r="Q96" s="5"/>
      <c r="R96" s="5"/>
      <c r="S96" s="289"/>
      <c r="W96" s="289"/>
      <c r="X96" s="289"/>
      <c r="Y96" s="289"/>
      <c r="Z96" s="289"/>
      <c r="AA96" s="581"/>
      <c r="AC96" s="289"/>
      <c r="AD96" s="289"/>
      <c r="AE96" s="516"/>
      <c r="AF96" s="289"/>
    </row>
    <row r="97" spans="7:32">
      <c r="G97" s="5"/>
      <c r="H97" s="5"/>
      <c r="I97" s="5"/>
      <c r="J97" s="5"/>
      <c r="O97" s="5"/>
      <c r="P97" s="5"/>
      <c r="Q97" s="5"/>
      <c r="R97" s="5"/>
      <c r="S97" s="289"/>
      <c r="W97" s="289"/>
      <c r="X97" s="289"/>
      <c r="Y97" s="289"/>
      <c r="Z97" s="289"/>
      <c r="AA97" s="581"/>
      <c r="AC97" s="289"/>
      <c r="AD97" s="289"/>
      <c r="AE97" s="516"/>
      <c r="AF97" s="289"/>
    </row>
    <row r="98" spans="7:32">
      <c r="G98" s="5"/>
      <c r="H98" s="5"/>
      <c r="I98" s="5"/>
      <c r="J98" s="5"/>
      <c r="O98" s="5"/>
      <c r="P98" s="5"/>
      <c r="Q98" s="5"/>
      <c r="R98" s="5"/>
      <c r="S98" s="289"/>
      <c r="W98" s="289"/>
      <c r="X98" s="289"/>
      <c r="Y98" s="289"/>
      <c r="Z98" s="289"/>
      <c r="AA98" s="581"/>
      <c r="AC98" s="289"/>
      <c r="AD98" s="289"/>
      <c r="AE98" s="516"/>
      <c r="AF98" s="289"/>
    </row>
    <row r="99" spans="7:32">
      <c r="G99" s="5"/>
      <c r="H99" s="5"/>
      <c r="I99" s="5"/>
      <c r="J99" s="5"/>
      <c r="O99" s="5"/>
      <c r="P99" s="5"/>
      <c r="Q99" s="5"/>
      <c r="R99" s="5"/>
      <c r="S99" s="289"/>
      <c r="W99" s="289"/>
      <c r="X99" s="289"/>
      <c r="Y99" s="289"/>
      <c r="Z99" s="289"/>
      <c r="AA99" s="581"/>
      <c r="AC99" s="289"/>
      <c r="AD99" s="289"/>
      <c r="AE99" s="516"/>
      <c r="AF99" s="289"/>
    </row>
    <row r="100" spans="7:32">
      <c r="G100" s="5"/>
      <c r="H100" s="5"/>
      <c r="I100" s="5"/>
      <c r="J100" s="5"/>
      <c r="O100" s="5"/>
      <c r="P100" s="5"/>
      <c r="Q100" s="5"/>
      <c r="R100" s="5"/>
      <c r="S100" s="289"/>
      <c r="W100" s="289"/>
      <c r="X100" s="289"/>
      <c r="Y100" s="289"/>
      <c r="Z100" s="289"/>
      <c r="AA100" s="581"/>
      <c r="AC100" s="289"/>
      <c r="AD100" s="289"/>
      <c r="AE100" s="516"/>
      <c r="AF100" s="289"/>
    </row>
    <row r="101" spans="7:32">
      <c r="G101" s="5"/>
      <c r="H101" s="5"/>
      <c r="I101" s="5"/>
      <c r="J101" s="5"/>
      <c r="O101" s="5"/>
      <c r="P101" s="5"/>
      <c r="Q101" s="5"/>
      <c r="R101" s="5"/>
      <c r="S101" s="289"/>
      <c r="W101" s="289"/>
      <c r="X101" s="289"/>
      <c r="Y101" s="289"/>
      <c r="Z101" s="289"/>
      <c r="AA101" s="581"/>
      <c r="AC101" s="289"/>
      <c r="AD101" s="289"/>
      <c r="AE101" s="516"/>
      <c r="AF101" s="289"/>
    </row>
  </sheetData>
  <mergeCells count="26">
    <mergeCell ref="B59:U59"/>
    <mergeCell ref="V59:Z59"/>
    <mergeCell ref="AA59:AD59"/>
    <mergeCell ref="O2:R2"/>
    <mergeCell ref="S2:S3"/>
    <mergeCell ref="AC2:AD2"/>
    <mergeCell ref="AE2:AE3"/>
    <mergeCell ref="AC1:AF1"/>
    <mergeCell ref="AF2:AF3"/>
    <mergeCell ref="W1:Z1"/>
    <mergeCell ref="AA1:AA3"/>
    <mergeCell ref="AB1:AB3"/>
    <mergeCell ref="W2:W3"/>
    <mergeCell ref="X2:Z2"/>
    <mergeCell ref="O1:R1"/>
    <mergeCell ref="S1:V1"/>
    <mergeCell ref="T2:V2"/>
    <mergeCell ref="C1:F1"/>
    <mergeCell ref="K1:N1"/>
    <mergeCell ref="C2:C3"/>
    <mergeCell ref="G2:G3"/>
    <mergeCell ref="H2:J2"/>
    <mergeCell ref="D2:F2"/>
    <mergeCell ref="K2:K3"/>
    <mergeCell ref="L2:N2"/>
    <mergeCell ref="G1:J1"/>
  </mergeCells>
  <pageMargins left="0.25" right="0.31" top="0.23" bottom="0.22" header="0.22" footer="0.23"/>
  <pageSetup paperSize="9" scale="8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F70"/>
  <sheetViews>
    <sheetView topLeftCell="A3" workbookViewId="0">
      <selection activeCell="L68" sqref="L68"/>
    </sheetView>
  </sheetViews>
  <sheetFormatPr defaultRowHeight="15"/>
  <cols>
    <col min="1" max="1" width="34.7109375" style="4" customWidth="1"/>
    <col min="2" max="2" width="22" style="4" customWidth="1"/>
    <col min="3" max="3" width="10.28515625" style="4" customWidth="1"/>
    <col min="4" max="4" width="14.85546875" style="4" customWidth="1"/>
    <col min="5" max="5" width="11.140625" style="4" customWidth="1"/>
    <col min="6" max="6" width="10.140625" style="4" customWidth="1"/>
    <col min="7" max="7" width="11" style="4" customWidth="1"/>
    <col min="8" max="8" width="12" style="4" customWidth="1"/>
    <col min="9" max="9" width="21.85546875" style="4" customWidth="1"/>
    <col min="10" max="10" width="11.7109375" style="4" customWidth="1"/>
    <col min="11" max="11" width="11" style="4" customWidth="1"/>
    <col min="12" max="16384" width="9.140625" style="4"/>
  </cols>
  <sheetData>
    <row r="1" spans="1:58" s="291" customFormat="1" ht="15.75" customHeight="1">
      <c r="A1" s="1277" t="s">
        <v>230</v>
      </c>
      <c r="B1" s="1277" t="s">
        <v>248</v>
      </c>
      <c r="C1" s="1280" t="s">
        <v>249</v>
      </c>
      <c r="D1" s="1274" t="s">
        <v>243</v>
      </c>
      <c r="E1" s="1275"/>
      <c r="F1" s="1275"/>
      <c r="G1" s="1275"/>
      <c r="H1" s="1275"/>
      <c r="I1" s="1275"/>
      <c r="J1" s="1275"/>
      <c r="K1" s="1276"/>
    </row>
    <row r="2" spans="1:58" s="291" customFormat="1" ht="15" customHeight="1">
      <c r="A2" s="1278"/>
      <c r="B2" s="1278"/>
      <c r="C2" s="1281"/>
      <c r="D2" s="292" t="s">
        <v>231</v>
      </c>
      <c r="E2" s="1273" t="s">
        <v>232</v>
      </c>
      <c r="F2" s="1273"/>
      <c r="G2" s="1273" t="s">
        <v>233</v>
      </c>
      <c r="H2" s="1273"/>
      <c r="I2" s="1273" t="s">
        <v>247</v>
      </c>
      <c r="J2" s="1273" t="s">
        <v>235</v>
      </c>
      <c r="K2" s="1273" t="s">
        <v>236</v>
      </c>
      <c r="L2" s="293"/>
    </row>
    <row r="3" spans="1:58" s="291" customFormat="1" ht="17.25" customHeight="1">
      <c r="A3" s="1279"/>
      <c r="B3" s="1279"/>
      <c r="C3" s="1282"/>
      <c r="D3" s="292"/>
      <c r="E3" s="292" t="s">
        <v>250</v>
      </c>
      <c r="F3" s="292" t="s">
        <v>238</v>
      </c>
      <c r="G3" s="292" t="s">
        <v>250</v>
      </c>
      <c r="H3" s="292" t="s">
        <v>240</v>
      </c>
      <c r="I3" s="1273"/>
      <c r="J3" s="1273"/>
      <c r="K3" s="1273"/>
      <c r="L3" s="293"/>
    </row>
    <row r="4" spans="1:58" s="103" customFormat="1">
      <c r="A4" s="207" t="s">
        <v>302</v>
      </c>
      <c r="B4" s="207"/>
      <c r="C4" s="340"/>
      <c r="D4" s="197">
        <f>D5</f>
        <v>72</v>
      </c>
      <c r="E4" s="197">
        <f t="shared" ref="E4:K4" si="0">E5</f>
        <v>0</v>
      </c>
      <c r="F4" s="197">
        <f t="shared" si="0"/>
        <v>4.7</v>
      </c>
      <c r="G4" s="197">
        <f t="shared" si="0"/>
        <v>34</v>
      </c>
      <c r="H4" s="197">
        <f t="shared" si="0"/>
        <v>125</v>
      </c>
      <c r="I4" s="197">
        <f t="shared" si="0"/>
        <v>22</v>
      </c>
      <c r="J4" s="197">
        <f t="shared" si="0"/>
        <v>33</v>
      </c>
      <c r="K4" s="197">
        <f t="shared" si="0"/>
        <v>79</v>
      </c>
      <c r="L4" s="9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</row>
    <row r="5" spans="1:58">
      <c r="A5" s="139"/>
      <c r="B5" s="139" t="s">
        <v>302</v>
      </c>
      <c r="C5" s="298" t="s">
        <v>453</v>
      </c>
      <c r="D5" s="298">
        <v>72</v>
      </c>
      <c r="E5" s="298">
        <v>0</v>
      </c>
      <c r="F5" s="298">
        <v>4.7</v>
      </c>
      <c r="G5" s="298">
        <v>34</v>
      </c>
      <c r="H5" s="298">
        <v>125</v>
      </c>
      <c r="I5" s="298">
        <v>22</v>
      </c>
      <c r="J5" s="298">
        <v>33</v>
      </c>
      <c r="K5" s="298">
        <v>79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</row>
    <row r="6" spans="1:58">
      <c r="A6" s="201" t="s">
        <v>299</v>
      </c>
      <c r="B6" s="201"/>
      <c r="C6" s="223"/>
      <c r="D6" s="223"/>
      <c r="E6" s="223"/>
      <c r="F6" s="223"/>
      <c r="G6" s="223">
        <v>1.3</v>
      </c>
      <c r="H6" s="223"/>
      <c r="I6" s="223"/>
      <c r="J6" s="223">
        <v>210</v>
      </c>
      <c r="K6" s="223">
        <v>430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</row>
    <row r="7" spans="1:58" s="103" customFormat="1">
      <c r="A7" s="171"/>
      <c r="B7" s="200" t="s">
        <v>299</v>
      </c>
      <c r="C7" s="20"/>
      <c r="D7" s="20"/>
      <c r="E7" s="20"/>
      <c r="F7" s="20"/>
      <c r="G7" s="20"/>
      <c r="H7" s="20">
        <v>100</v>
      </c>
      <c r="I7" s="20"/>
      <c r="J7" s="20"/>
      <c r="K7" s="20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</row>
    <row r="8" spans="1:58">
      <c r="A8" s="171"/>
      <c r="B8" s="200" t="s">
        <v>225</v>
      </c>
      <c r="C8" s="20"/>
      <c r="D8" s="20"/>
      <c r="E8" s="20"/>
      <c r="F8" s="20"/>
      <c r="G8" s="20"/>
      <c r="H8" s="20">
        <v>100</v>
      </c>
      <c r="I8" s="20"/>
      <c r="J8" s="20"/>
      <c r="K8" s="20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</row>
    <row r="9" spans="1:58" s="103" customFormat="1">
      <c r="A9" s="171"/>
      <c r="B9" s="200" t="s">
        <v>301</v>
      </c>
      <c r="C9" s="20"/>
      <c r="D9" s="20"/>
      <c r="E9" s="20"/>
      <c r="F9" s="20"/>
      <c r="G9" s="20"/>
      <c r="H9" s="20">
        <v>100</v>
      </c>
      <c r="I9" s="20"/>
      <c r="J9" s="20"/>
      <c r="K9" s="20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</row>
    <row r="10" spans="1:58" ht="15.75">
      <c r="A10" s="215"/>
      <c r="B10" s="200" t="s">
        <v>300</v>
      </c>
      <c r="C10" s="20"/>
      <c r="D10" s="20"/>
      <c r="E10" s="20"/>
      <c r="F10" s="20"/>
      <c r="G10" s="20"/>
      <c r="H10" s="20">
        <v>100</v>
      </c>
      <c r="I10" s="20"/>
      <c r="J10" s="20"/>
      <c r="K10" s="20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</row>
    <row r="11" spans="1:58" ht="15.75">
      <c r="A11" s="188" t="s">
        <v>254</v>
      </c>
      <c r="B11" s="188"/>
      <c r="C11" s="223"/>
      <c r="D11" s="223"/>
      <c r="E11" s="223"/>
      <c r="F11" s="223"/>
      <c r="G11" s="223"/>
      <c r="H11" s="223"/>
      <c r="I11" s="223"/>
      <c r="J11" s="223"/>
      <c r="K11" s="223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</row>
    <row r="12" spans="1:58" ht="15.75">
      <c r="A12" s="106"/>
      <c r="B12" s="216" t="s">
        <v>255</v>
      </c>
      <c r="C12" s="47"/>
      <c r="D12" s="20"/>
      <c r="E12" s="20"/>
      <c r="F12" s="20"/>
      <c r="G12" s="20"/>
      <c r="H12" s="20"/>
      <c r="I12" s="20"/>
      <c r="J12" s="20"/>
      <c r="K12" s="20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</row>
    <row r="13" spans="1:58" ht="15.75">
      <c r="A13" s="215"/>
      <c r="B13" s="216" t="s">
        <v>256</v>
      </c>
      <c r="C13" s="47"/>
      <c r="D13" s="20"/>
      <c r="E13" s="20"/>
      <c r="F13" s="20"/>
      <c r="G13" s="20"/>
      <c r="H13" s="20"/>
      <c r="I13" s="20"/>
      <c r="J13" s="20"/>
      <c r="K13" s="20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</row>
    <row r="14" spans="1:58" ht="15.75">
      <c r="A14" s="188" t="s">
        <v>257</v>
      </c>
      <c r="B14" s="188"/>
      <c r="C14" s="296"/>
      <c r="D14" s="223"/>
      <c r="E14" s="223"/>
      <c r="F14" s="223"/>
      <c r="G14" s="223"/>
      <c r="H14" s="223"/>
      <c r="I14" s="223"/>
      <c r="J14" s="223"/>
      <c r="K14" s="223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</row>
    <row r="15" spans="1:58" ht="15.75">
      <c r="A15" s="216"/>
      <c r="B15" s="216" t="s">
        <v>258</v>
      </c>
      <c r="C15" s="553" t="s">
        <v>470</v>
      </c>
      <c r="D15" s="298">
        <v>100</v>
      </c>
      <c r="E15" s="298">
        <v>0.03</v>
      </c>
      <c r="F15" s="298"/>
      <c r="G15" s="41">
        <v>0.02</v>
      </c>
      <c r="H15" s="41"/>
      <c r="I15" s="41">
        <v>0.02</v>
      </c>
      <c r="J15" s="298">
        <v>0.03</v>
      </c>
      <c r="K15" s="298">
        <v>85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</row>
    <row r="16" spans="1:58" s="103" customFormat="1" ht="15.75">
      <c r="A16" s="216"/>
      <c r="B16" s="216" t="s">
        <v>259</v>
      </c>
      <c r="C16" s="360"/>
      <c r="D16" s="298">
        <v>100</v>
      </c>
      <c r="E16" s="298">
        <v>0</v>
      </c>
      <c r="F16" s="298"/>
      <c r="G16" s="298"/>
      <c r="H16" s="298"/>
      <c r="I16" s="298"/>
      <c r="J16" s="298">
        <v>0</v>
      </c>
      <c r="K16" s="298">
        <v>70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</row>
    <row r="17" spans="1:58" ht="15.75">
      <c r="A17" s="215"/>
      <c r="B17" s="216" t="s">
        <v>260</v>
      </c>
      <c r="C17" s="360"/>
      <c r="D17" s="298">
        <v>100</v>
      </c>
      <c r="E17" s="298">
        <v>0.01</v>
      </c>
      <c r="F17" s="298"/>
      <c r="G17" s="298"/>
      <c r="H17" s="298"/>
      <c r="I17" s="298"/>
      <c r="J17" s="298">
        <v>0.01</v>
      </c>
      <c r="K17" s="298">
        <v>80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</row>
    <row r="18" spans="1:58" s="103" customFormat="1" ht="15.75">
      <c r="A18" s="188" t="s">
        <v>261</v>
      </c>
      <c r="B18" s="188"/>
      <c r="C18" s="296"/>
      <c r="D18" s="307">
        <f>D19+D20</f>
        <v>6.1000000000000005</v>
      </c>
      <c r="E18" s="307">
        <f t="shared" ref="E18:K18" si="1">E19+E20</f>
        <v>0</v>
      </c>
      <c r="F18" s="307">
        <f t="shared" si="1"/>
        <v>0</v>
      </c>
      <c r="G18" s="307">
        <f t="shared" si="1"/>
        <v>0.72</v>
      </c>
      <c r="H18" s="307">
        <f t="shared" si="1"/>
        <v>0</v>
      </c>
      <c r="I18" s="307">
        <f t="shared" si="1"/>
        <v>0.72</v>
      </c>
      <c r="J18" s="307">
        <f t="shared" si="1"/>
        <v>0</v>
      </c>
      <c r="K18" s="307">
        <f t="shared" si="1"/>
        <v>177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</row>
    <row r="19" spans="1:58" ht="15.75">
      <c r="A19" s="216"/>
      <c r="B19" s="216" t="s">
        <v>262</v>
      </c>
      <c r="C19" s="47"/>
      <c r="D19" s="298">
        <v>5.2</v>
      </c>
      <c r="E19" s="298"/>
      <c r="F19" s="298"/>
      <c r="G19" s="298">
        <v>0.72</v>
      </c>
      <c r="H19" s="298"/>
      <c r="I19" s="298">
        <v>0.72</v>
      </c>
      <c r="J19" s="298">
        <v>0</v>
      </c>
      <c r="K19" s="298">
        <v>125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</row>
    <row r="20" spans="1:58" s="103" customFormat="1" ht="15.75">
      <c r="A20" s="215"/>
      <c r="B20" s="216" t="s">
        <v>263</v>
      </c>
      <c r="C20" s="47"/>
      <c r="D20" s="298">
        <v>0.9</v>
      </c>
      <c r="E20" s="298"/>
      <c r="F20" s="298"/>
      <c r="G20" s="298">
        <v>0</v>
      </c>
      <c r="H20" s="298"/>
      <c r="I20" s="298">
        <v>0</v>
      </c>
      <c r="J20" s="298">
        <v>0</v>
      </c>
      <c r="K20" s="298">
        <v>52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</row>
    <row r="21" spans="1:58" ht="15.75">
      <c r="A21" s="188" t="s">
        <v>264</v>
      </c>
      <c r="B21" s="188"/>
      <c r="C21" s="296"/>
      <c r="D21" s="223"/>
      <c r="E21" s="223"/>
      <c r="F21" s="223"/>
      <c r="G21" s="223"/>
      <c r="H21" s="223"/>
      <c r="I21" s="223"/>
      <c r="J21" s="223"/>
      <c r="K21" s="223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</row>
    <row r="22" spans="1:58" ht="15.75">
      <c r="A22" s="216"/>
      <c r="B22" s="216" t="s">
        <v>265</v>
      </c>
      <c r="C22" s="47"/>
      <c r="D22" s="20">
        <v>25</v>
      </c>
      <c r="E22" s="20"/>
      <c r="F22" s="20">
        <v>100</v>
      </c>
      <c r="G22" s="20"/>
      <c r="H22" s="20">
        <v>100</v>
      </c>
      <c r="I22" s="20"/>
      <c r="J22" s="20">
        <v>25</v>
      </c>
      <c r="K22" s="20">
        <v>90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</row>
    <row r="23" spans="1:58" ht="15.75">
      <c r="A23" s="215"/>
      <c r="B23" s="216" t="s">
        <v>266</v>
      </c>
      <c r="C23" s="47"/>
      <c r="D23" s="20">
        <v>75</v>
      </c>
      <c r="E23" s="20"/>
      <c r="F23" s="20">
        <v>75</v>
      </c>
      <c r="G23" s="20"/>
      <c r="H23" s="20">
        <v>100</v>
      </c>
      <c r="I23" s="20"/>
      <c r="J23" s="20">
        <v>25</v>
      </c>
      <c r="K23" s="20">
        <v>90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</row>
    <row r="24" spans="1:58" s="220" customFormat="1" ht="15.75">
      <c r="A24" s="188" t="s">
        <v>267</v>
      </c>
      <c r="B24" s="188"/>
      <c r="C24" s="299">
        <f>C25+C26+C27</f>
        <v>0</v>
      </c>
      <c r="D24" s="299">
        <f t="shared" ref="D24:K24" si="2">D25+D26+D27</f>
        <v>20</v>
      </c>
      <c r="E24" s="299">
        <f t="shared" si="2"/>
        <v>0</v>
      </c>
      <c r="F24" s="299">
        <f t="shared" si="2"/>
        <v>0</v>
      </c>
      <c r="G24" s="299">
        <f t="shared" si="2"/>
        <v>12</v>
      </c>
      <c r="H24" s="299">
        <f t="shared" si="2"/>
        <v>0</v>
      </c>
      <c r="I24" s="299">
        <f t="shared" si="2"/>
        <v>12</v>
      </c>
      <c r="J24" s="299">
        <f t="shared" si="2"/>
        <v>0</v>
      </c>
      <c r="K24" s="299">
        <f t="shared" si="2"/>
        <v>80</v>
      </c>
    </row>
    <row r="25" spans="1:58" ht="15.75">
      <c r="A25" s="216"/>
      <c r="B25" s="216" t="s">
        <v>268</v>
      </c>
      <c r="C25" s="297"/>
      <c r="D25" s="298">
        <v>20</v>
      </c>
      <c r="E25" s="298"/>
      <c r="F25" s="298"/>
      <c r="G25" s="298">
        <v>12</v>
      </c>
      <c r="H25" s="298"/>
      <c r="I25" s="298">
        <v>12</v>
      </c>
      <c r="J25" s="298"/>
      <c r="K25" s="298">
        <v>55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</row>
    <row r="26" spans="1:58" s="103" customFormat="1" ht="15.75">
      <c r="A26" s="216"/>
      <c r="B26" s="216" t="s">
        <v>269</v>
      </c>
      <c r="C26" s="297"/>
      <c r="D26" s="298"/>
      <c r="E26" s="298"/>
      <c r="F26" s="298"/>
      <c r="G26" s="298"/>
      <c r="H26" s="298"/>
      <c r="I26" s="298"/>
      <c r="J26" s="298"/>
      <c r="K26" s="298">
        <v>15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</row>
    <row r="27" spans="1:58" ht="15.75">
      <c r="A27" s="215"/>
      <c r="B27" s="216" t="s">
        <v>270</v>
      </c>
      <c r="C27" s="297"/>
      <c r="D27" s="298"/>
      <c r="E27" s="298"/>
      <c r="F27" s="298"/>
      <c r="G27" s="298"/>
      <c r="H27" s="298"/>
      <c r="I27" s="298"/>
      <c r="J27" s="298"/>
      <c r="K27" s="298">
        <v>10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</row>
    <row r="28" spans="1:58" ht="15.75">
      <c r="A28" s="188" t="s">
        <v>271</v>
      </c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</row>
    <row r="29" spans="1:58" ht="15.75">
      <c r="A29" s="216"/>
      <c r="B29" s="216" t="s">
        <v>272</v>
      </c>
      <c r="C29" s="47"/>
      <c r="D29" s="20"/>
      <c r="E29" s="20"/>
      <c r="F29" s="20"/>
      <c r="G29" s="20"/>
      <c r="H29" s="20">
        <v>100</v>
      </c>
      <c r="I29" s="20"/>
      <c r="J29" s="20"/>
      <c r="K29" s="20">
        <v>54.4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</row>
    <row r="30" spans="1:58" ht="15.75">
      <c r="A30" s="216"/>
      <c r="B30" s="216" t="s">
        <v>273</v>
      </c>
      <c r="C30" s="47"/>
      <c r="D30" s="20"/>
      <c r="E30" s="20"/>
      <c r="F30" s="20"/>
      <c r="G30" s="20"/>
      <c r="H30" s="20">
        <v>100</v>
      </c>
      <c r="I30" s="20"/>
      <c r="J30" s="20"/>
      <c r="K30" s="20">
        <v>46.4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</row>
    <row r="31" spans="1:58" ht="15.75">
      <c r="A31" s="216"/>
      <c r="B31" s="216" t="s">
        <v>274</v>
      </c>
      <c r="C31" s="47"/>
      <c r="D31" s="20"/>
      <c r="E31" s="20"/>
      <c r="F31" s="20"/>
      <c r="G31" s="20"/>
      <c r="H31" s="20">
        <v>100</v>
      </c>
      <c r="I31" s="20"/>
      <c r="J31" s="20"/>
      <c r="K31" s="20">
        <v>62.3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</row>
    <row r="32" spans="1:58" ht="15.75">
      <c r="A32" s="216"/>
      <c r="B32" s="216" t="s">
        <v>275</v>
      </c>
      <c r="C32" s="47"/>
      <c r="D32" s="20"/>
      <c r="E32" s="20"/>
      <c r="F32" s="20"/>
      <c r="G32" s="20"/>
      <c r="H32" s="20">
        <v>100</v>
      </c>
      <c r="I32" s="20"/>
      <c r="J32" s="20"/>
      <c r="K32" s="20">
        <v>58.3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</row>
    <row r="33" spans="1:58" ht="15.75">
      <c r="A33" s="215" t="s">
        <v>297</v>
      </c>
      <c r="B33" s="216" t="s">
        <v>276</v>
      </c>
      <c r="C33" s="47"/>
      <c r="D33" s="20"/>
      <c r="E33" s="20"/>
      <c r="F33" s="20"/>
      <c r="G33" s="20"/>
      <c r="H33" s="20">
        <v>100</v>
      </c>
      <c r="I33" s="20"/>
      <c r="J33" s="20"/>
      <c r="K33" s="20">
        <v>51.2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</row>
    <row r="34" spans="1:58" s="164" customFormat="1" ht="15.75">
      <c r="A34" s="184" t="s">
        <v>277</v>
      </c>
      <c r="B34" s="188"/>
      <c r="C34" s="296"/>
      <c r="D34" s="223"/>
      <c r="E34" s="223"/>
      <c r="F34" s="223"/>
      <c r="G34" s="223"/>
      <c r="H34" s="223"/>
      <c r="I34" s="223"/>
      <c r="J34" s="307">
        <f>SUM(J35:J39)</f>
        <v>90</v>
      </c>
      <c r="K34" s="307">
        <f>SUM(K35:K39)</f>
        <v>163</v>
      </c>
    </row>
    <row r="35" spans="1:58" ht="15.75">
      <c r="A35" s="216"/>
      <c r="B35" s="216" t="s">
        <v>278</v>
      </c>
      <c r="C35" s="360" t="s">
        <v>116</v>
      </c>
      <c r="D35" s="298">
        <v>47</v>
      </c>
      <c r="E35" s="298"/>
      <c r="F35" s="298"/>
      <c r="G35" s="298">
        <v>110</v>
      </c>
      <c r="H35" s="298"/>
      <c r="I35" s="298">
        <v>110</v>
      </c>
      <c r="J35" s="298">
        <v>40</v>
      </c>
      <c r="K35" s="298">
        <v>119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</row>
    <row r="36" spans="1:58" ht="15.75">
      <c r="A36" s="216"/>
      <c r="B36" s="216" t="s">
        <v>279</v>
      </c>
      <c r="C36" s="47"/>
      <c r="D36" s="20"/>
      <c r="E36" s="20"/>
      <c r="F36" s="20"/>
      <c r="G36" s="20"/>
      <c r="H36" s="20"/>
      <c r="I36" s="20"/>
      <c r="J36" s="298">
        <v>20</v>
      </c>
      <c r="K36" s="298">
        <v>29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</row>
    <row r="37" spans="1:58" ht="15.75">
      <c r="A37" s="216"/>
      <c r="B37" s="216" t="s">
        <v>280</v>
      </c>
      <c r="C37" s="20"/>
      <c r="D37" s="20"/>
      <c r="E37" s="20"/>
      <c r="F37" s="20"/>
      <c r="G37" s="20"/>
      <c r="H37" s="20"/>
      <c r="I37" s="20"/>
      <c r="J37" s="298">
        <v>15</v>
      </c>
      <c r="K37" s="298">
        <v>12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</row>
    <row r="38" spans="1:58" s="103" customFormat="1" ht="15.75">
      <c r="A38" s="216"/>
      <c r="B38" s="216" t="s">
        <v>281</v>
      </c>
      <c r="C38" s="20"/>
      <c r="D38" s="20"/>
      <c r="E38" s="20"/>
      <c r="F38" s="20"/>
      <c r="G38" s="20"/>
      <c r="H38" s="20"/>
      <c r="I38" s="20"/>
      <c r="J38" s="298">
        <v>0</v>
      </c>
      <c r="K38" s="298">
        <v>3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</row>
    <row r="39" spans="1:58" ht="15.75">
      <c r="A39" s="215"/>
      <c r="B39" s="216" t="s">
        <v>282</v>
      </c>
      <c r="C39" s="20"/>
      <c r="D39" s="20"/>
      <c r="E39" s="20"/>
      <c r="F39" s="20"/>
      <c r="G39" s="20"/>
      <c r="H39" s="20"/>
      <c r="I39" s="20"/>
      <c r="J39" s="298">
        <v>15</v>
      </c>
      <c r="K39" s="298">
        <v>0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</row>
    <row r="40" spans="1:58" ht="15.75">
      <c r="A40" s="188" t="s">
        <v>283</v>
      </c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</row>
    <row r="41" spans="1:58" ht="15.75">
      <c r="A41" s="216"/>
      <c r="B41" s="216" t="s">
        <v>284</v>
      </c>
      <c r="C41" s="20"/>
      <c r="D41" s="298">
        <v>143</v>
      </c>
      <c r="E41" s="298"/>
      <c r="F41" s="298"/>
      <c r="G41" s="298"/>
      <c r="H41" s="41">
        <v>100</v>
      </c>
      <c r="I41" s="298"/>
      <c r="J41" s="298"/>
      <c r="K41" s="298">
        <v>150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</row>
    <row r="42" spans="1:58" ht="15.75">
      <c r="A42" s="216"/>
      <c r="B42" s="216" t="s">
        <v>285</v>
      </c>
      <c r="C42" s="20"/>
      <c r="D42" s="298">
        <v>9</v>
      </c>
      <c r="E42" s="298"/>
      <c r="F42" s="298"/>
      <c r="G42" s="298"/>
      <c r="H42" s="41">
        <v>100</v>
      </c>
      <c r="I42" s="298"/>
      <c r="J42" s="298"/>
      <c r="K42" s="298">
        <v>33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</row>
    <row r="43" spans="1:58" ht="15.75">
      <c r="A43" s="216"/>
      <c r="B43" s="216" t="s">
        <v>286</v>
      </c>
      <c r="C43" s="20"/>
      <c r="D43" s="298"/>
      <c r="E43" s="298"/>
      <c r="F43" s="298"/>
      <c r="G43" s="298"/>
      <c r="H43" s="41">
        <v>100</v>
      </c>
      <c r="I43" s="298"/>
      <c r="J43" s="298"/>
      <c r="K43" s="298">
        <v>16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</row>
    <row r="44" spans="1:58" ht="15.75">
      <c r="A44" s="216"/>
      <c r="B44" s="216" t="s">
        <v>287</v>
      </c>
      <c r="C44" s="20"/>
      <c r="D44" s="298"/>
      <c r="E44" s="298"/>
      <c r="F44" s="298"/>
      <c r="G44" s="298"/>
      <c r="H44" s="41">
        <v>100</v>
      </c>
      <c r="I44" s="298"/>
      <c r="J44" s="298"/>
      <c r="K44" s="298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</row>
    <row r="45" spans="1:58" ht="15.75">
      <c r="A45" s="188" t="s">
        <v>288</v>
      </c>
      <c r="B45" s="188"/>
      <c r="C45" s="223"/>
      <c r="D45" s="223"/>
      <c r="E45" s="223"/>
      <c r="F45" s="223"/>
      <c r="G45" s="223"/>
      <c r="H45" s="223"/>
      <c r="I45" s="223"/>
      <c r="J45" s="307">
        <f>SUM(J46:J48)</f>
        <v>34</v>
      </c>
      <c r="K45" s="307">
        <f>SUM(K46:K48)</f>
        <v>181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</row>
    <row r="46" spans="1:58" ht="15.75">
      <c r="A46" s="216"/>
      <c r="B46" s="216" t="s">
        <v>289</v>
      </c>
      <c r="C46" s="20"/>
      <c r="D46" s="20"/>
      <c r="E46" s="20"/>
      <c r="F46" s="20"/>
      <c r="G46" s="20"/>
      <c r="H46" s="20"/>
      <c r="I46" s="20"/>
      <c r="J46" s="298">
        <v>29</v>
      </c>
      <c r="K46" s="298">
        <v>165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</row>
    <row r="47" spans="1:58" ht="15.75">
      <c r="A47" s="216"/>
      <c r="B47" s="216" t="s">
        <v>290</v>
      </c>
      <c r="C47" s="20"/>
      <c r="D47" s="20"/>
      <c r="E47" s="20"/>
      <c r="F47" s="20"/>
      <c r="G47" s="20"/>
      <c r="H47" s="20"/>
      <c r="I47" s="20"/>
      <c r="J47" s="298"/>
      <c r="K47" s="298">
        <v>1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</row>
    <row r="48" spans="1:58" ht="15.75">
      <c r="A48" s="215"/>
      <c r="B48" s="216" t="s">
        <v>291</v>
      </c>
      <c r="C48" s="20"/>
      <c r="D48" s="20"/>
      <c r="E48" s="20"/>
      <c r="F48" s="20"/>
      <c r="G48" s="20"/>
      <c r="H48" s="20"/>
      <c r="I48" s="20"/>
      <c r="J48" s="298">
        <v>5</v>
      </c>
      <c r="K48" s="298">
        <v>15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</row>
    <row r="49" spans="1:58" s="324" customFormat="1" ht="15.75">
      <c r="A49" s="188" t="s">
        <v>292</v>
      </c>
      <c r="B49" s="188"/>
      <c r="C49" s="219"/>
      <c r="D49" s="307">
        <f t="shared" ref="D49:K49" si="3">SUM(D50:D53)</f>
        <v>5.3</v>
      </c>
      <c r="E49" s="307">
        <f t="shared" si="3"/>
        <v>0</v>
      </c>
      <c r="F49" s="307">
        <f t="shared" si="3"/>
        <v>3</v>
      </c>
      <c r="G49" s="307">
        <f t="shared" si="3"/>
        <v>0.2</v>
      </c>
      <c r="H49" s="307">
        <f t="shared" si="3"/>
        <v>0</v>
      </c>
      <c r="I49" s="307">
        <f t="shared" si="3"/>
        <v>0</v>
      </c>
      <c r="J49" s="307">
        <f t="shared" si="3"/>
        <v>15.7</v>
      </c>
      <c r="K49" s="307">
        <f t="shared" si="3"/>
        <v>15.4</v>
      </c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</row>
    <row r="50" spans="1:58" ht="15.75">
      <c r="A50" s="100"/>
      <c r="B50" s="100" t="s">
        <v>293</v>
      </c>
      <c r="C50" s="20"/>
      <c r="D50" s="298">
        <v>2</v>
      </c>
      <c r="E50" s="298">
        <v>0</v>
      </c>
      <c r="F50" s="298">
        <v>1</v>
      </c>
      <c r="G50" s="298">
        <v>0.2</v>
      </c>
      <c r="H50" s="298"/>
      <c r="I50" s="298">
        <v>0</v>
      </c>
      <c r="J50" s="298">
        <v>5</v>
      </c>
      <c r="K50" s="298">
        <v>10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</row>
    <row r="51" spans="1:58" s="103" customFormat="1" ht="31.5">
      <c r="A51" s="100"/>
      <c r="B51" s="100" t="s">
        <v>294</v>
      </c>
      <c r="C51" s="294"/>
      <c r="D51" s="298">
        <v>0</v>
      </c>
      <c r="E51" s="298">
        <v>0</v>
      </c>
      <c r="F51" s="298">
        <v>0</v>
      </c>
      <c r="G51" s="298">
        <v>0</v>
      </c>
      <c r="H51" s="298"/>
      <c r="I51" s="298">
        <v>0</v>
      </c>
      <c r="J51" s="298">
        <v>1</v>
      </c>
      <c r="K51" s="298">
        <v>1.4</v>
      </c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</row>
    <row r="52" spans="1:58" ht="15.75">
      <c r="A52" s="100"/>
      <c r="B52" s="100" t="s">
        <v>295</v>
      </c>
      <c r="C52" s="20"/>
      <c r="D52" s="298">
        <v>1</v>
      </c>
      <c r="E52" s="298">
        <v>0</v>
      </c>
      <c r="F52" s="298">
        <v>1</v>
      </c>
      <c r="G52" s="298">
        <v>0</v>
      </c>
      <c r="H52" s="298"/>
      <c r="I52" s="298">
        <v>0</v>
      </c>
      <c r="J52" s="298">
        <v>4.7</v>
      </c>
      <c r="K52" s="298">
        <v>2</v>
      </c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</row>
    <row r="53" spans="1:58" ht="15.75">
      <c r="A53" s="101"/>
      <c r="B53" s="100" t="s">
        <v>296</v>
      </c>
      <c r="C53" s="20"/>
      <c r="D53" s="298">
        <v>2.2999999999999998</v>
      </c>
      <c r="E53" s="298">
        <v>0</v>
      </c>
      <c r="F53" s="298">
        <v>1</v>
      </c>
      <c r="G53" s="298">
        <v>0</v>
      </c>
      <c r="H53" s="298"/>
      <c r="I53" s="298">
        <v>0</v>
      </c>
      <c r="J53" s="298">
        <v>5</v>
      </c>
      <c r="K53" s="298">
        <v>2</v>
      </c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</row>
    <row r="54" spans="1:58">
      <c r="A54" s="141"/>
      <c r="B54" s="141" t="s">
        <v>226</v>
      </c>
      <c r="C54" s="20"/>
      <c r="D54" s="298"/>
      <c r="E54" s="298"/>
      <c r="F54" s="298"/>
      <c r="G54" s="298"/>
      <c r="H54" s="298"/>
      <c r="I54" s="298"/>
      <c r="J54" s="298"/>
      <c r="K54" s="298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</row>
    <row r="55" spans="1:58" s="166" customFormat="1" ht="30" customHeight="1">
      <c r="A55" s="165" t="s">
        <v>78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295"/>
      <c r="M55" s="295"/>
      <c r="N55" s="295"/>
      <c r="O55" s="295"/>
      <c r="P55" s="295"/>
      <c r="Q55" s="295"/>
      <c r="R55" s="295"/>
      <c r="S55" s="295"/>
      <c r="T55" s="295"/>
      <c r="U55" s="295"/>
      <c r="V55" s="295"/>
      <c r="W55" s="295"/>
      <c r="X55" s="295"/>
      <c r="Y55" s="295"/>
      <c r="Z55" s="295"/>
      <c r="AA55" s="295"/>
      <c r="AB55" s="295"/>
      <c r="AC55" s="295"/>
      <c r="AD55" s="295"/>
      <c r="AE55" s="295"/>
      <c r="AF55" s="295"/>
      <c r="AG55" s="295"/>
      <c r="AH55" s="295"/>
      <c r="AI55" s="295"/>
      <c r="AJ55" s="295"/>
      <c r="AK55" s="295"/>
      <c r="AL55" s="295"/>
      <c r="AM55" s="295"/>
      <c r="AN55" s="295"/>
      <c r="AO55" s="295"/>
      <c r="AP55" s="295"/>
      <c r="AQ55" s="295"/>
      <c r="AR55" s="295"/>
      <c r="AS55" s="295"/>
      <c r="AT55" s="295"/>
      <c r="AU55" s="295"/>
      <c r="AV55" s="295"/>
      <c r="AW55" s="295"/>
      <c r="AX55" s="295"/>
      <c r="AY55" s="295"/>
      <c r="AZ55" s="295"/>
      <c r="BA55" s="295"/>
      <c r="BB55" s="295"/>
      <c r="BC55" s="295"/>
      <c r="BD55" s="295"/>
      <c r="BE55" s="295"/>
      <c r="BF55" s="295"/>
    </row>
    <row r="56" spans="1:58" ht="12" customHeight="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</row>
    <row r="57" spans="1:58"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</row>
    <row r="58" spans="1:58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</row>
    <row r="59" spans="1:58">
      <c r="A59" s="766" t="s">
        <v>241</v>
      </c>
      <c r="B59" s="34" t="s">
        <v>242</v>
      </c>
      <c r="C59" s="20"/>
      <c r="D59" s="20"/>
      <c r="E59" s="20"/>
      <c r="F59" s="20"/>
      <c r="G59" s="20"/>
      <c r="H59" s="20"/>
      <c r="I59" s="20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</row>
    <row r="60" spans="1:58">
      <c r="A60" s="34"/>
      <c r="B60" s="34" t="s">
        <v>231</v>
      </c>
      <c r="C60" s="20" t="s">
        <v>232</v>
      </c>
      <c r="D60" s="20"/>
      <c r="E60" s="20" t="s">
        <v>233</v>
      </c>
      <c r="F60" s="20"/>
      <c r="G60" s="20" t="s">
        <v>234</v>
      </c>
      <c r="H60" s="20" t="s">
        <v>235</v>
      </c>
      <c r="I60" s="20" t="s">
        <v>236</v>
      </c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</row>
    <row r="61" spans="1:58">
      <c r="A61" s="34"/>
      <c r="B61" s="34"/>
      <c r="C61" s="20" t="s">
        <v>237</v>
      </c>
      <c r="D61" s="20" t="s">
        <v>238</v>
      </c>
      <c r="E61" s="20" t="s">
        <v>239</v>
      </c>
      <c r="F61" s="20" t="s">
        <v>240</v>
      </c>
      <c r="G61" s="20"/>
      <c r="H61" s="20"/>
      <c r="I61" s="20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</row>
    <row r="62" spans="1:58">
      <c r="A62" s="34">
        <v>770</v>
      </c>
      <c r="B62" s="35">
        <v>770</v>
      </c>
      <c r="C62" s="41">
        <v>95</v>
      </c>
      <c r="D62" s="41">
        <v>92</v>
      </c>
      <c r="E62" s="41">
        <v>143</v>
      </c>
      <c r="F62" s="41">
        <v>657</v>
      </c>
      <c r="G62" s="41">
        <v>163</v>
      </c>
      <c r="H62" s="41">
        <v>234</v>
      </c>
      <c r="I62" s="41">
        <v>502</v>
      </c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</row>
    <row r="63" spans="1:58">
      <c r="A63" s="34">
        <v>162</v>
      </c>
      <c r="B63" s="35">
        <v>68</v>
      </c>
      <c r="C63" s="41">
        <v>0</v>
      </c>
      <c r="D63" s="41">
        <v>0</v>
      </c>
      <c r="E63" s="41">
        <v>0</v>
      </c>
      <c r="F63" s="41">
        <v>162</v>
      </c>
      <c r="G63" s="41">
        <v>0</v>
      </c>
      <c r="H63" s="41">
        <v>44</v>
      </c>
      <c r="I63" s="41">
        <v>69</v>
      </c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</row>
    <row r="64" spans="1:58">
      <c r="A64" s="34">
        <v>501</v>
      </c>
      <c r="B64" s="35">
        <v>277</v>
      </c>
      <c r="C64" s="41">
        <v>0</v>
      </c>
      <c r="D64" s="41">
        <v>40</v>
      </c>
      <c r="E64" s="41">
        <v>0</v>
      </c>
      <c r="F64" s="41">
        <v>0</v>
      </c>
      <c r="G64" s="41">
        <v>0</v>
      </c>
      <c r="H64" s="41">
        <v>144</v>
      </c>
      <c r="I64" s="41">
        <v>415</v>
      </c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</row>
    <row r="65" spans="1:58">
      <c r="A65" s="34">
        <v>211</v>
      </c>
      <c r="B65" s="35">
        <v>45</v>
      </c>
      <c r="C65" s="41">
        <v>37</v>
      </c>
      <c r="D65" s="41">
        <v>8</v>
      </c>
      <c r="E65" s="41">
        <v>0</v>
      </c>
      <c r="F65" s="41">
        <v>0</v>
      </c>
      <c r="G65" s="41">
        <v>0</v>
      </c>
      <c r="H65" s="41">
        <v>24</v>
      </c>
      <c r="I65" s="41">
        <v>187</v>
      </c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</row>
    <row r="66" spans="1:58">
      <c r="A66" s="34">
        <v>904</v>
      </c>
      <c r="B66" s="35">
        <v>627</v>
      </c>
      <c r="C66" s="41">
        <v>406</v>
      </c>
      <c r="D66" s="41">
        <v>101</v>
      </c>
      <c r="E66" s="41">
        <v>393</v>
      </c>
      <c r="F66" s="41">
        <v>511</v>
      </c>
      <c r="G66" s="41">
        <v>356</v>
      </c>
      <c r="H66" s="768">
        <v>1500</v>
      </c>
      <c r="I66" s="768">
        <v>1510</v>
      </c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</row>
    <row r="67" spans="1:58">
      <c r="A67" s="34">
        <v>505</v>
      </c>
      <c r="B67" s="35">
        <v>183</v>
      </c>
      <c r="C67" s="41">
        <v>0</v>
      </c>
      <c r="D67" s="41">
        <v>160</v>
      </c>
      <c r="E67" s="41">
        <v>21</v>
      </c>
      <c r="F67" s="41">
        <v>497</v>
      </c>
      <c r="G67" s="41">
        <v>16</v>
      </c>
      <c r="H67" s="41">
        <v>216</v>
      </c>
      <c r="I67" s="41">
        <v>289</v>
      </c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</row>
    <row r="68" spans="1:58">
      <c r="A68" s="34">
        <v>291</v>
      </c>
      <c r="B68" s="35">
        <v>172.5</v>
      </c>
      <c r="C68" s="41">
        <v>50.5</v>
      </c>
      <c r="D68" s="41">
        <v>85</v>
      </c>
      <c r="E68" s="41">
        <v>32</v>
      </c>
      <c r="F68" s="41">
        <v>259</v>
      </c>
      <c r="G68" s="41">
        <v>46.5</v>
      </c>
      <c r="H68" s="41">
        <v>169.5</v>
      </c>
      <c r="I68" s="41">
        <v>153.5</v>
      </c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</row>
    <row r="69" spans="1:58">
      <c r="A69" s="34">
        <v>534</v>
      </c>
      <c r="B69" s="35">
        <v>80</v>
      </c>
      <c r="C69" s="41">
        <v>32</v>
      </c>
      <c r="D69" s="41">
        <v>43</v>
      </c>
      <c r="E69" s="41">
        <v>0</v>
      </c>
      <c r="F69" s="41">
        <v>0</v>
      </c>
      <c r="G69" s="41">
        <v>0</v>
      </c>
      <c r="H69" s="41">
        <v>99</v>
      </c>
      <c r="I69" s="41">
        <v>565</v>
      </c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</row>
    <row r="70" spans="1:58">
      <c r="A70" s="767">
        <v>3878</v>
      </c>
      <c r="B70" s="769">
        <v>2223</v>
      </c>
      <c r="C70" s="41">
        <v>621</v>
      </c>
      <c r="D70" s="41">
        <v>529</v>
      </c>
      <c r="E70" s="41">
        <v>589</v>
      </c>
      <c r="F70" s="71">
        <v>2086</v>
      </c>
      <c r="G70" s="41">
        <v>582</v>
      </c>
      <c r="H70" s="71">
        <v>2431</v>
      </c>
      <c r="I70" s="71">
        <v>3691</v>
      </c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</row>
  </sheetData>
  <mergeCells count="9">
    <mergeCell ref="I2:I3"/>
    <mergeCell ref="J2:J3"/>
    <mergeCell ref="K2:K3"/>
    <mergeCell ref="D1:K1"/>
    <mergeCell ref="A1:A3"/>
    <mergeCell ref="B1:B3"/>
    <mergeCell ref="C1:C3"/>
    <mergeCell ref="G2:H2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8</vt:i4>
      </vt:variant>
    </vt:vector>
  </HeadingPairs>
  <TitlesOfParts>
    <vt:vector size="33" baseType="lpstr">
      <vt:lpstr>Численность</vt:lpstr>
      <vt:lpstr>проект числ-сть</vt:lpstr>
      <vt:lpstr>Движение населения</vt:lpstr>
      <vt:lpstr>Половозрастн стр-ра</vt:lpstr>
      <vt:lpstr>половозраст состав</vt:lpstr>
      <vt:lpstr>сх предприятия</vt:lpstr>
      <vt:lpstr>Произв предприятия</vt:lpstr>
      <vt:lpstr>Жилфонд</vt:lpstr>
      <vt:lpstr>обеспеч ЖФ</vt:lpstr>
      <vt:lpstr>строитЖФ</vt:lpstr>
      <vt:lpstr>СКБ</vt:lpstr>
      <vt:lpstr>СКБ износ</vt:lpstr>
      <vt:lpstr>Уточн СКБ</vt:lpstr>
      <vt:lpstr>Приложение 1</vt:lpstr>
      <vt:lpstr>Приложение 2</vt:lpstr>
      <vt:lpstr>СКБ старое</vt:lpstr>
      <vt:lpstr>СкотЛПХ</vt:lpstr>
      <vt:lpstr>Скот орг</vt:lpstr>
      <vt:lpstr>Работающие</vt:lpstr>
      <vt:lpstr>Развитие жив-ва</vt:lpstr>
      <vt:lpstr>Расчет кормов 1оч</vt:lpstr>
      <vt:lpstr>Расет кормов расчср</vt:lpstr>
      <vt:lpstr>S посева корм.</vt:lpstr>
      <vt:lpstr>Развитие раст-ва</vt:lpstr>
      <vt:lpstr>Тракторы</vt:lpstr>
      <vt:lpstr>'Приложение 1'!Область_печати</vt:lpstr>
      <vt:lpstr>'Приложение 2'!Область_печати</vt:lpstr>
      <vt:lpstr>'проект числ-сть'!Область_печати</vt:lpstr>
      <vt:lpstr>'Развитие жив-ва'!Область_печати</vt:lpstr>
      <vt:lpstr>'СКБ износ'!Область_печати</vt:lpstr>
      <vt:lpstr>строитЖФ!Область_печати</vt:lpstr>
      <vt:lpstr>'сх предприятия'!Область_печати</vt:lpstr>
      <vt:lpstr>'Уточн СКБ'!Область_печати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Kampan</dc:creator>
  <cp:lastModifiedBy>Madonova</cp:lastModifiedBy>
  <cp:lastPrinted>2011-12-30T04:24:16Z</cp:lastPrinted>
  <dcterms:created xsi:type="dcterms:W3CDTF">2011-05-05T02:26:42Z</dcterms:created>
  <dcterms:modified xsi:type="dcterms:W3CDTF">2012-02-24T07:34:27Z</dcterms:modified>
</cp:coreProperties>
</file>